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dels\ZooCal\"/>
    </mc:Choice>
  </mc:AlternateContent>
  <bookViews>
    <workbookView xWindow="600" yWindow="390" windowWidth="9030" windowHeight="3180" activeTab="1"/>
  </bookViews>
  <sheets>
    <sheet name="Observations" sheetId="1" r:id="rId1"/>
    <sheet name="model vs Observation" sheetId="2" r:id="rId2"/>
  </sheets>
  <calcPr calcId="152511"/>
</workbook>
</file>

<file path=xl/calcChain.xml><?xml version="1.0" encoding="utf-8"?>
<calcChain xmlns="http://schemas.openxmlformats.org/spreadsheetml/2006/main">
  <c r="C58" i="2" l="1"/>
  <c r="E58" i="2"/>
  <c r="D58" i="2"/>
  <c r="C63" i="2"/>
  <c r="E63" i="2"/>
  <c r="D63" i="2"/>
  <c r="C62" i="2"/>
  <c r="E62" i="2"/>
  <c r="D62" i="2"/>
  <c r="C61" i="2"/>
  <c r="E61" i="2"/>
  <c r="D61" i="2"/>
  <c r="B63" i="2"/>
  <c r="B61" i="2"/>
  <c r="E55" i="2"/>
  <c r="E56" i="2"/>
  <c r="E57" i="2"/>
  <c r="H61" i="2"/>
  <c r="H63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F61" i="2" l="1"/>
  <c r="G61" i="2"/>
  <c r="G15" i="2"/>
  <c r="F15" i="2"/>
  <c r="F41" i="1"/>
  <c r="E41" i="1"/>
  <c r="C57" i="2"/>
  <c r="D57" i="2"/>
  <c r="C56" i="2"/>
  <c r="D56" i="2"/>
  <c r="C55" i="2"/>
  <c r="D55" i="2"/>
  <c r="F63" i="2"/>
  <c r="G63" i="2"/>
  <c r="F53" i="2"/>
  <c r="G53" i="2"/>
  <c r="F52" i="2"/>
  <c r="G52" i="2"/>
  <c r="F51" i="2"/>
  <c r="G51" i="2"/>
  <c r="F50" i="2"/>
  <c r="G50" i="2"/>
  <c r="F49" i="2"/>
  <c r="G49" i="2"/>
  <c r="F48" i="2"/>
  <c r="G48" i="2"/>
  <c r="F47" i="2"/>
  <c r="G47" i="2"/>
  <c r="F46" i="2"/>
  <c r="G46" i="2"/>
  <c r="F45" i="2"/>
  <c r="G45" i="2"/>
  <c r="F44" i="2"/>
  <c r="G44" i="2"/>
  <c r="F43" i="2"/>
  <c r="G43" i="2"/>
  <c r="F42" i="2"/>
  <c r="G42" i="2"/>
  <c r="F41" i="2"/>
  <c r="G41" i="2"/>
  <c r="F40" i="2"/>
  <c r="G40" i="2"/>
  <c r="F39" i="2"/>
  <c r="G39" i="2"/>
  <c r="F38" i="2"/>
  <c r="G38" i="2"/>
  <c r="F37" i="2"/>
  <c r="G37" i="2"/>
  <c r="F36" i="2"/>
  <c r="G36" i="2"/>
  <c r="F35" i="2"/>
  <c r="G35" i="2"/>
  <c r="F34" i="2"/>
  <c r="G34" i="2"/>
  <c r="F33" i="2"/>
  <c r="G33" i="2"/>
  <c r="F32" i="2"/>
  <c r="G32" i="2"/>
  <c r="F31" i="2"/>
  <c r="G31" i="2"/>
  <c r="F30" i="2"/>
  <c r="G30" i="2"/>
  <c r="F29" i="2"/>
  <c r="G29" i="2"/>
  <c r="F28" i="2"/>
  <c r="G28" i="2"/>
  <c r="F27" i="2"/>
  <c r="G27" i="2"/>
  <c r="F26" i="2"/>
  <c r="G26" i="2"/>
  <c r="F25" i="2"/>
  <c r="G25" i="2"/>
  <c r="F24" i="2"/>
  <c r="G24" i="2"/>
  <c r="F23" i="2"/>
  <c r="G23" i="2"/>
  <c r="F22" i="2"/>
  <c r="G22" i="2"/>
  <c r="F21" i="2"/>
  <c r="G21" i="2"/>
  <c r="F20" i="2"/>
  <c r="G20" i="2"/>
  <c r="F19" i="2"/>
  <c r="G19" i="2"/>
  <c r="F18" i="2"/>
  <c r="G18" i="2"/>
  <c r="F17" i="2"/>
  <c r="G17" i="2"/>
  <c r="F16" i="2"/>
  <c r="G16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F6" i="2"/>
  <c r="G6" i="2"/>
  <c r="O43" i="1" l="1"/>
  <c r="K43" i="1"/>
  <c r="O44" i="1"/>
  <c r="K44" i="1"/>
  <c r="O42" i="1"/>
  <c r="B30" i="2" l="1"/>
  <c r="B27" i="2"/>
  <c r="B25" i="2"/>
  <c r="K24" i="1"/>
  <c r="K21" i="1"/>
  <c r="K19" i="1"/>
  <c r="D36" i="1"/>
  <c r="D35" i="1"/>
  <c r="D34" i="1"/>
  <c r="D33" i="1"/>
  <c r="D32" i="1"/>
  <c r="D25" i="1"/>
  <c r="D24" i="1"/>
  <c r="D23" i="1"/>
  <c r="D22" i="1"/>
  <c r="D21" i="1"/>
  <c r="D20" i="1"/>
  <c r="D19" i="1"/>
  <c r="D18" i="1"/>
  <c r="D17" i="1"/>
  <c r="D16" i="1"/>
  <c r="D15" i="1"/>
  <c r="D14" i="1"/>
  <c r="D31" i="1"/>
  <c r="D30" i="1"/>
  <c r="D29" i="1"/>
  <c r="D28" i="1"/>
  <c r="D27" i="1"/>
  <c r="D26" i="1"/>
  <c r="K42" i="1"/>
  <c r="O13" i="1"/>
  <c r="O12" i="1"/>
  <c r="O11" i="1"/>
  <c r="O10" i="1"/>
  <c r="O9" i="1"/>
  <c r="O8" i="1"/>
  <c r="O7" i="1"/>
  <c r="O6" i="1"/>
  <c r="F10" i="1"/>
  <c r="E10" i="1"/>
  <c r="F9" i="1"/>
  <c r="E9" i="1"/>
  <c r="F8" i="1"/>
  <c r="E8" i="1"/>
  <c r="F7" i="1"/>
  <c r="E7" i="1"/>
  <c r="F6" i="1"/>
  <c r="E6" i="1"/>
  <c r="B10" i="2"/>
  <c r="I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F40" i="1"/>
  <c r="E40" i="1"/>
  <c r="F39" i="1"/>
  <c r="E39" i="1"/>
  <c r="F38" i="1"/>
  <c r="E38" i="1"/>
  <c r="C59" i="2" l="1"/>
  <c r="E59" i="2"/>
  <c r="B62" i="2"/>
  <c r="D59" i="2"/>
  <c r="B58" i="2"/>
  <c r="H62" i="2"/>
  <c r="B3" i="2"/>
  <c r="F62" i="2"/>
  <c r="G62" i="2"/>
  <c r="B55" i="2"/>
  <c r="B57" i="2"/>
  <c r="B56" i="2"/>
  <c r="L68" i="1"/>
  <c r="L67" i="1"/>
  <c r="L66" i="1"/>
  <c r="K68" i="1"/>
  <c r="K67" i="1"/>
  <c r="K66" i="1"/>
  <c r="K3" i="1" s="1"/>
  <c r="B2" i="2" l="1"/>
</calcChain>
</file>

<file path=xl/sharedStrings.xml><?xml version="1.0" encoding="utf-8"?>
<sst xmlns="http://schemas.openxmlformats.org/spreadsheetml/2006/main" count="71" uniqueCount="48">
  <si>
    <t>Fabry91</t>
  </si>
  <si>
    <t>table 1</t>
  </si>
  <si>
    <t>aragonite %</t>
  </si>
  <si>
    <t>mg calc %</t>
  </si>
  <si>
    <t>depth</t>
  </si>
  <si>
    <t>table 2</t>
  </si>
  <si>
    <t>ave</t>
  </si>
  <si>
    <t>aragonite flux (mg/m2/d)</t>
  </si>
  <si>
    <t>mg calc flux (mg/m2/d)</t>
  </si>
  <si>
    <t>total CaCO3 (mg/m2/d)</t>
  </si>
  <si>
    <t>Fabry90</t>
  </si>
  <si>
    <t>Table 2</t>
  </si>
  <si>
    <t>lat</t>
  </si>
  <si>
    <t>lon</t>
  </si>
  <si>
    <t>pteropod biomass (mg/m2)</t>
  </si>
  <si>
    <t>year</t>
  </si>
  <si>
    <t>month</t>
  </si>
  <si>
    <t>pteropod prod. (mg/m2/d)</t>
  </si>
  <si>
    <t>table 3</t>
  </si>
  <si>
    <t>sediment traps</t>
  </si>
  <si>
    <t>berner honjo 81</t>
  </si>
  <si>
    <t>betzer ea 1984</t>
  </si>
  <si>
    <t>fabry 89</t>
  </si>
  <si>
    <t>duration (months)</t>
  </si>
  <si>
    <t>foram  biomass (mg/m2)</t>
  </si>
  <si>
    <t>cocco biomass (mg/m2)</t>
  </si>
  <si>
    <t>fabry89</t>
  </si>
  <si>
    <t>obs</t>
  </si>
  <si>
    <t>Bathmann91</t>
  </si>
  <si>
    <t>fig3b</t>
  </si>
  <si>
    <t>pteropod biomass (mg CaCO3/m2)</t>
  </si>
  <si>
    <t>pteropod biomass (mg Corg/m2)</t>
  </si>
  <si>
    <t>Berner81</t>
  </si>
  <si>
    <t>Meinecke90</t>
  </si>
  <si>
    <t>HEAJ</t>
  </si>
  <si>
    <t>HFAK</t>
  </si>
  <si>
    <t>HALJ</t>
  </si>
  <si>
    <t>median</t>
  </si>
  <si>
    <t>Bednarsek12</t>
  </si>
  <si>
    <t>pteropod prod. (mg CaCO3/m2/d)</t>
  </si>
  <si>
    <t>2006-2009</t>
  </si>
  <si>
    <t>0-400</t>
  </si>
  <si>
    <t>std</t>
  </si>
  <si>
    <t>exp</t>
  </si>
  <si>
    <t>25th percentile</t>
  </si>
  <si>
    <t>75th percentile</t>
  </si>
  <si>
    <t>r^2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</si>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</sst>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00"/>
    <numFmt numFmtId="167" formatCode="0.0000"/>
    <numFmt numFmtId="168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0" xfId="0" applyNumberFormat="1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  <xf numFmtId="167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D900"/>
      <color rgb="FF368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1252905060874"/>
          <c:y val="2.1134252586566239E-2"/>
          <c:w val="0.81538658989212254"/>
          <c:h val="0.8546364290558125"/>
        </c:manualLayout>
      </c:layout>
      <c:scatterChart>
        <c:scatterStyle val="lineMarker"/>
        <c:varyColors val="0"/>
        <c:ser>
          <c:idx val="6"/>
          <c:order val="0"/>
          <c:tx>
            <c:v>araprodHFAK</c:v>
          </c:tx>
          <c:spPr>
            <a:ln w="28575">
              <a:noFill/>
            </a:ln>
          </c:spPr>
          <c:marker>
            <c:symbol val="triang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'model vs Observation'!$B$11:$B$15</c:f>
              <c:numCache>
                <c:formatCode>General</c:formatCode>
                <c:ptCount val="5"/>
                <c:pt idx="0">
                  <c:v>2.8</c:v>
                </c:pt>
                <c:pt idx="1">
                  <c:v>6.6</c:v>
                </c:pt>
                <c:pt idx="2">
                  <c:v>1.4</c:v>
                </c:pt>
                <c:pt idx="3">
                  <c:v>4.4000000000000004</c:v>
                </c:pt>
                <c:pt idx="4">
                  <c:v>4.16</c:v>
                </c:pt>
              </c:numCache>
            </c:numRef>
          </c:xVal>
          <c:yVal>
            <c:numRef>
              <c:f>'model vs Observation'!$H$11:$H$15</c:f>
              <c:numCache>
                <c:formatCode>General</c:formatCode>
                <c:ptCount val="5"/>
                <c:pt idx="0">
                  <c:v>1.1620000000000001E-3</c:v>
                </c:pt>
                <c:pt idx="1">
                  <c:v>7.8770000000000003E-3</c:v>
                </c:pt>
                <c:pt idx="2">
                  <c:v>2.5379999999999999E-3</c:v>
                </c:pt>
                <c:pt idx="3">
                  <c:v>2.5049999999999998E-3</c:v>
                </c:pt>
                <c:pt idx="4">
                  <c:v>1.106E-4</c:v>
                </c:pt>
              </c:numCache>
            </c:numRef>
          </c:yVal>
          <c:smooth val="0"/>
        </c:ser>
        <c:ser>
          <c:idx val="7"/>
          <c:order val="1"/>
          <c:tx>
            <c:v>arafluHFAK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'model vs Observation'!$B$16:$B$45</c:f>
              <c:numCache>
                <c:formatCode>General</c:formatCode>
                <c:ptCount val="30"/>
                <c:pt idx="0">
                  <c:v>5.4</c:v>
                </c:pt>
                <c:pt idx="1">
                  <c:v>2.7</c:v>
                </c:pt>
                <c:pt idx="2">
                  <c:v>3</c:v>
                </c:pt>
                <c:pt idx="3">
                  <c:v>3.4</c:v>
                </c:pt>
                <c:pt idx="4">
                  <c:v>50</c:v>
                </c:pt>
                <c:pt idx="5">
                  <c:v>32.6</c:v>
                </c:pt>
                <c:pt idx="6">
                  <c:v>16</c:v>
                </c:pt>
                <c:pt idx="7">
                  <c:v>29</c:v>
                </c:pt>
                <c:pt idx="8">
                  <c:v>45</c:v>
                </c:pt>
                <c:pt idx="9">
                  <c:v>24.75</c:v>
                </c:pt>
                <c:pt idx="10">
                  <c:v>5.3</c:v>
                </c:pt>
                <c:pt idx="11">
                  <c:v>6.25</c:v>
                </c:pt>
                <c:pt idx="12">
                  <c:v>0.85</c:v>
                </c:pt>
                <c:pt idx="13">
                  <c:v>1.55</c:v>
                </c:pt>
                <c:pt idx="14">
                  <c:v>14.350000000000001</c:v>
                </c:pt>
                <c:pt idx="15">
                  <c:v>0.95</c:v>
                </c:pt>
                <c:pt idx="16">
                  <c:v>1.4</c:v>
                </c:pt>
                <c:pt idx="17">
                  <c:v>1.7</c:v>
                </c:pt>
                <c:pt idx="18">
                  <c:v>0.1</c:v>
                </c:pt>
                <c:pt idx="19">
                  <c:v>1</c:v>
                </c:pt>
                <c:pt idx="20">
                  <c:v>6.5</c:v>
                </c:pt>
                <c:pt idx="21">
                  <c:v>0.95</c:v>
                </c:pt>
                <c:pt idx="22">
                  <c:v>1.1000000000000001</c:v>
                </c:pt>
                <c:pt idx="23">
                  <c:v>0.7</c:v>
                </c:pt>
                <c:pt idx="24">
                  <c:v>0.6</c:v>
                </c:pt>
                <c:pt idx="25">
                  <c:v>1.9</c:v>
                </c:pt>
                <c:pt idx="26">
                  <c:v>0.2</c:v>
                </c:pt>
                <c:pt idx="27">
                  <c:v>3.2</c:v>
                </c:pt>
                <c:pt idx="28">
                  <c:v>3.2</c:v>
                </c:pt>
                <c:pt idx="29">
                  <c:v>2.9</c:v>
                </c:pt>
              </c:numCache>
            </c:numRef>
          </c:xVal>
          <c:yVal>
            <c:numRef>
              <c:f>'model vs Observation'!$H$16:$H$45</c:f>
              <c:numCache>
                <c:formatCode>General</c:formatCode>
                <c:ptCount val="30"/>
                <c:pt idx="0">
                  <c:v>1.186E-3</c:v>
                </c:pt>
                <c:pt idx="1">
                  <c:v>1.156E-4</c:v>
                </c:pt>
                <c:pt idx="2">
                  <c:v>1E-4</c:v>
                </c:pt>
                <c:pt idx="3">
                  <c:v>0.10630000000000001</c:v>
                </c:pt>
                <c:pt idx="4">
                  <c:v>5.4650000000000002E-3</c:v>
                </c:pt>
                <c:pt idx="5">
                  <c:v>1.2459999999999999E-3</c:v>
                </c:pt>
                <c:pt idx="6">
                  <c:v>1.8879999999999999E-3</c:v>
                </c:pt>
                <c:pt idx="7">
                  <c:v>3.8730000000000001E-3</c:v>
                </c:pt>
                <c:pt idx="8">
                  <c:v>3.8530000000000001E-3</c:v>
                </c:pt>
                <c:pt idx="9">
                  <c:v>1.5120000000000001E-3</c:v>
                </c:pt>
                <c:pt idx="10">
                  <c:v>5.359E-3</c:v>
                </c:pt>
                <c:pt idx="11">
                  <c:v>1.5900000000000001E-3</c:v>
                </c:pt>
                <c:pt idx="12">
                  <c:v>2.1679999999999998E-3</c:v>
                </c:pt>
                <c:pt idx="13">
                  <c:v>4.2770000000000004E-3</c:v>
                </c:pt>
                <c:pt idx="14">
                  <c:v>4.1859999999999996E-3</c:v>
                </c:pt>
                <c:pt idx="15">
                  <c:v>2.7320000000000001E-3</c:v>
                </c:pt>
                <c:pt idx="16">
                  <c:v>5.0229999999999997E-3</c:v>
                </c:pt>
                <c:pt idx="17">
                  <c:v>1.709E-3</c:v>
                </c:pt>
                <c:pt idx="18">
                  <c:v>2.065E-3</c:v>
                </c:pt>
                <c:pt idx="19">
                  <c:v>3.9230000000000003E-3</c:v>
                </c:pt>
                <c:pt idx="20">
                  <c:v>4.3930000000000002E-3</c:v>
                </c:pt>
                <c:pt idx="21">
                  <c:v>1E-4</c:v>
                </c:pt>
                <c:pt idx="22">
                  <c:v>1E-4</c:v>
                </c:pt>
                <c:pt idx="23">
                  <c:v>1E-4</c:v>
                </c:pt>
                <c:pt idx="24">
                  <c:v>1E-4</c:v>
                </c:pt>
                <c:pt idx="25">
                  <c:v>1E-4</c:v>
                </c:pt>
                <c:pt idx="26">
                  <c:v>1E-4</c:v>
                </c:pt>
                <c:pt idx="27">
                  <c:v>1.8890000000000001E-3</c:v>
                </c:pt>
                <c:pt idx="28">
                  <c:v>1.9070000000000001E-3</c:v>
                </c:pt>
                <c:pt idx="29">
                  <c:v>2E-3</c:v>
                </c:pt>
              </c:numCache>
            </c:numRef>
          </c:yVal>
          <c:smooth val="0"/>
        </c:ser>
        <c:ser>
          <c:idx val="3"/>
          <c:order val="2"/>
          <c:tx>
            <c:v>ara%HFAK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'model vs Observation'!$B$46:$B$53</c:f>
              <c:numCache>
                <c:formatCode>General</c:formatCode>
                <c:ptCount val="8"/>
                <c:pt idx="0">
                  <c:v>12.7</c:v>
                </c:pt>
                <c:pt idx="1">
                  <c:v>6.9</c:v>
                </c:pt>
                <c:pt idx="2">
                  <c:v>5.7</c:v>
                </c:pt>
                <c:pt idx="3">
                  <c:v>12.5</c:v>
                </c:pt>
                <c:pt idx="4">
                  <c:v>8</c:v>
                </c:pt>
                <c:pt idx="5">
                  <c:v>17</c:v>
                </c:pt>
                <c:pt idx="6">
                  <c:v>15</c:v>
                </c:pt>
                <c:pt idx="7">
                  <c:v>13</c:v>
                </c:pt>
              </c:numCache>
            </c:numRef>
          </c:xVal>
          <c:yVal>
            <c:numRef>
              <c:f>'model vs Observation'!$H$46:$H$53</c:f>
              <c:numCache>
                <c:formatCode>General</c:formatCode>
                <c:ptCount val="8"/>
                <c:pt idx="0">
                  <c:v>1.2829999999999999</c:v>
                </c:pt>
                <c:pt idx="1">
                  <c:v>0.13619999999999999</c:v>
                </c:pt>
                <c:pt idx="2">
                  <c:v>7.7689999999999996E-4</c:v>
                </c:pt>
                <c:pt idx="3">
                  <c:v>0.58630000000000004</c:v>
                </c:pt>
                <c:pt idx="4">
                  <c:v>0.54349999999999998</c:v>
                </c:pt>
                <c:pt idx="5">
                  <c:v>5.2599999999999999E-3</c:v>
                </c:pt>
                <c:pt idx="6">
                  <c:v>0.52600000000000002</c:v>
                </c:pt>
                <c:pt idx="7">
                  <c:v>5.6220000000000003E-3</c:v>
                </c:pt>
              </c:numCache>
            </c:numRef>
          </c:yVal>
          <c:smooth val="0"/>
        </c:ser>
        <c:ser>
          <c:idx val="8"/>
          <c:order val="3"/>
          <c:tx>
            <c:v>pteprodHALJ</c:v>
          </c:tx>
          <c:spPr>
            <a:ln w="28575">
              <a:noFill/>
            </a:ln>
          </c:spPr>
          <c:marker>
            <c:symbol val="triang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'model vs Observation'!$B$11:$B$15</c:f>
              <c:numCache>
                <c:formatCode>General</c:formatCode>
                <c:ptCount val="5"/>
                <c:pt idx="0">
                  <c:v>2.8</c:v>
                </c:pt>
                <c:pt idx="1">
                  <c:v>6.6</c:v>
                </c:pt>
                <c:pt idx="2">
                  <c:v>1.4</c:v>
                </c:pt>
                <c:pt idx="3">
                  <c:v>4.4000000000000004</c:v>
                </c:pt>
                <c:pt idx="4">
                  <c:v>4.16</c:v>
                </c:pt>
              </c:numCache>
            </c:numRef>
          </c:xVal>
          <c:yVal>
            <c:numRef>
              <c:f>'model vs Observation'!$F$11:$F$15</c:f>
              <c:numCache>
                <c:formatCode>General</c:formatCode>
                <c:ptCount val="5"/>
                <c:pt idx="0">
                  <c:v>1.279E-3</c:v>
                </c:pt>
                <c:pt idx="1">
                  <c:v>151.30000000000001</c:v>
                </c:pt>
                <c:pt idx="2">
                  <c:v>0.2019</c:v>
                </c:pt>
                <c:pt idx="3">
                  <c:v>809.2</c:v>
                </c:pt>
                <c:pt idx="4">
                  <c:v>1E-4</c:v>
                </c:pt>
              </c:numCache>
            </c:numRef>
          </c:yVal>
          <c:smooth val="0"/>
        </c:ser>
        <c:ser>
          <c:idx val="0"/>
          <c:order val="4"/>
          <c:tx>
            <c:v>arafluHALJ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'model vs Observation'!$B$16:$B$45</c:f>
              <c:numCache>
                <c:formatCode>General</c:formatCode>
                <c:ptCount val="30"/>
                <c:pt idx="0">
                  <c:v>5.4</c:v>
                </c:pt>
                <c:pt idx="1">
                  <c:v>2.7</c:v>
                </c:pt>
                <c:pt idx="2">
                  <c:v>3</c:v>
                </c:pt>
                <c:pt idx="3">
                  <c:v>3.4</c:v>
                </c:pt>
                <c:pt idx="4">
                  <c:v>50</c:v>
                </c:pt>
                <c:pt idx="5">
                  <c:v>32.6</c:v>
                </c:pt>
                <c:pt idx="6">
                  <c:v>16</c:v>
                </c:pt>
                <c:pt idx="7">
                  <c:v>29</c:v>
                </c:pt>
                <c:pt idx="8">
                  <c:v>45</c:v>
                </c:pt>
                <c:pt idx="9">
                  <c:v>24.75</c:v>
                </c:pt>
                <c:pt idx="10">
                  <c:v>5.3</c:v>
                </c:pt>
                <c:pt idx="11">
                  <c:v>6.25</c:v>
                </c:pt>
                <c:pt idx="12">
                  <c:v>0.85</c:v>
                </c:pt>
                <c:pt idx="13">
                  <c:v>1.55</c:v>
                </c:pt>
                <c:pt idx="14">
                  <c:v>14.350000000000001</c:v>
                </c:pt>
                <c:pt idx="15">
                  <c:v>0.95</c:v>
                </c:pt>
                <c:pt idx="16">
                  <c:v>1.4</c:v>
                </c:pt>
                <c:pt idx="17">
                  <c:v>1.7</c:v>
                </c:pt>
                <c:pt idx="18">
                  <c:v>0.1</c:v>
                </c:pt>
                <c:pt idx="19">
                  <c:v>1</c:v>
                </c:pt>
                <c:pt idx="20">
                  <c:v>6.5</c:v>
                </c:pt>
                <c:pt idx="21">
                  <c:v>0.95</c:v>
                </c:pt>
                <c:pt idx="22">
                  <c:v>1.1000000000000001</c:v>
                </c:pt>
                <c:pt idx="23">
                  <c:v>0.7</c:v>
                </c:pt>
                <c:pt idx="24">
                  <c:v>0.6</c:v>
                </c:pt>
                <c:pt idx="25">
                  <c:v>1.9</c:v>
                </c:pt>
                <c:pt idx="26">
                  <c:v>0.2</c:v>
                </c:pt>
                <c:pt idx="27">
                  <c:v>3.2</c:v>
                </c:pt>
                <c:pt idx="28">
                  <c:v>3.2</c:v>
                </c:pt>
                <c:pt idx="29">
                  <c:v>2.9</c:v>
                </c:pt>
              </c:numCache>
            </c:numRef>
          </c:xVal>
          <c:yVal>
            <c:numRef>
              <c:f>'model vs Observation'!$F$16:$F$45</c:f>
              <c:numCache>
                <c:formatCode>General</c:formatCode>
                <c:ptCount val="30"/>
                <c:pt idx="0">
                  <c:v>0.58809999999999996</c:v>
                </c:pt>
                <c:pt idx="1">
                  <c:v>3.0460000000000001E-2</c:v>
                </c:pt>
                <c:pt idx="2">
                  <c:v>1E-4</c:v>
                </c:pt>
                <c:pt idx="3">
                  <c:v>3.0590000000000002</c:v>
                </c:pt>
                <c:pt idx="4">
                  <c:v>1E-4</c:v>
                </c:pt>
                <c:pt idx="5">
                  <c:v>9.5530000000000004E-2</c:v>
                </c:pt>
                <c:pt idx="6">
                  <c:v>3.431</c:v>
                </c:pt>
                <c:pt idx="7">
                  <c:v>64.510000000000005</c:v>
                </c:pt>
                <c:pt idx="8">
                  <c:v>65.69</c:v>
                </c:pt>
                <c:pt idx="9">
                  <c:v>34.479999999999997</c:v>
                </c:pt>
                <c:pt idx="10">
                  <c:v>1.741E-4</c:v>
                </c:pt>
                <c:pt idx="11">
                  <c:v>9.554E-2</c:v>
                </c:pt>
                <c:pt idx="12">
                  <c:v>4.4619999999999997</c:v>
                </c:pt>
                <c:pt idx="13">
                  <c:v>65.25</c:v>
                </c:pt>
                <c:pt idx="14">
                  <c:v>68.900000000000006</c:v>
                </c:pt>
                <c:pt idx="15">
                  <c:v>34</c:v>
                </c:pt>
                <c:pt idx="16">
                  <c:v>2.33E-4</c:v>
                </c:pt>
                <c:pt idx="17">
                  <c:v>8.4699999999999998E-2</c:v>
                </c:pt>
                <c:pt idx="18">
                  <c:v>5.2489999999999997</c:v>
                </c:pt>
                <c:pt idx="19">
                  <c:v>64.989999999999995</c:v>
                </c:pt>
                <c:pt idx="20">
                  <c:v>67.150000000000006</c:v>
                </c:pt>
                <c:pt idx="21">
                  <c:v>2.5070000000000001</c:v>
                </c:pt>
                <c:pt idx="22">
                  <c:v>1E-4</c:v>
                </c:pt>
                <c:pt idx="23">
                  <c:v>2.9659999999999999E-3</c:v>
                </c:pt>
                <c:pt idx="24">
                  <c:v>3.5950000000000003E-2</c:v>
                </c:pt>
                <c:pt idx="25">
                  <c:v>3.209E-2</c:v>
                </c:pt>
                <c:pt idx="26">
                  <c:v>3.2830000000000001E-4</c:v>
                </c:pt>
                <c:pt idx="27">
                  <c:v>3.8319999999999999E-4</c:v>
                </c:pt>
                <c:pt idx="28">
                  <c:v>1.4480000000000001E-3</c:v>
                </c:pt>
                <c:pt idx="29">
                  <c:v>6.6639999999999998E-3</c:v>
                </c:pt>
              </c:numCache>
            </c:numRef>
          </c:yVal>
          <c:smooth val="0"/>
        </c:ser>
        <c:ser>
          <c:idx val="9"/>
          <c:order val="5"/>
          <c:tx>
            <c:v>ara%HALJ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'model vs Observation'!$B$46:$B$53</c:f>
              <c:numCache>
                <c:formatCode>General</c:formatCode>
                <c:ptCount val="8"/>
                <c:pt idx="0">
                  <c:v>12.7</c:v>
                </c:pt>
                <c:pt idx="1">
                  <c:v>6.9</c:v>
                </c:pt>
                <c:pt idx="2">
                  <c:v>5.7</c:v>
                </c:pt>
                <c:pt idx="3">
                  <c:v>12.5</c:v>
                </c:pt>
                <c:pt idx="4">
                  <c:v>8</c:v>
                </c:pt>
                <c:pt idx="5">
                  <c:v>17</c:v>
                </c:pt>
                <c:pt idx="6">
                  <c:v>15</c:v>
                </c:pt>
                <c:pt idx="7">
                  <c:v>13</c:v>
                </c:pt>
              </c:numCache>
            </c:numRef>
          </c:xVal>
          <c:yVal>
            <c:numRef>
              <c:f>'model vs Observation'!$F$46:$F$53</c:f>
              <c:numCache>
                <c:formatCode>General</c:formatCode>
                <c:ptCount val="8"/>
                <c:pt idx="0">
                  <c:v>91.29</c:v>
                </c:pt>
                <c:pt idx="1">
                  <c:v>35.15</c:v>
                </c:pt>
                <c:pt idx="2">
                  <c:v>0.2266</c:v>
                </c:pt>
                <c:pt idx="3">
                  <c:v>5.0919999999999996</c:v>
                </c:pt>
                <c:pt idx="4">
                  <c:v>1.1950000000000001</c:v>
                </c:pt>
                <c:pt idx="5">
                  <c:v>3.035E-4</c:v>
                </c:pt>
                <c:pt idx="6">
                  <c:v>1.157E-3</c:v>
                </c:pt>
                <c:pt idx="7">
                  <c:v>5.4310000000000001E-3</c:v>
                </c:pt>
              </c:numCache>
            </c:numRef>
          </c:yVal>
          <c:smooth val="0"/>
        </c:ser>
        <c:ser>
          <c:idx val="1"/>
          <c:order val="6"/>
          <c:tx>
            <c:v>"1:1"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'model vs Observation'!$B$1:$B$2</c:f>
              <c:numCache>
                <c:formatCode>General</c:formatCode>
                <c:ptCount val="2"/>
                <c:pt idx="0" formatCode="0.00E+00">
                  <c:v>1E-4</c:v>
                </c:pt>
                <c:pt idx="1">
                  <c:v>4740</c:v>
                </c:pt>
              </c:numCache>
            </c:numRef>
          </c:xVal>
          <c:yVal>
            <c:numRef>
              <c:f>'model vs Observation'!$B$1:$B$2</c:f>
              <c:numCache>
                <c:formatCode>General</c:formatCode>
                <c:ptCount val="2"/>
                <c:pt idx="0" formatCode="0.00E+00">
                  <c:v>1E-4</c:v>
                </c:pt>
                <c:pt idx="1">
                  <c:v>4740</c:v>
                </c:pt>
              </c:numCache>
            </c:numRef>
          </c:yVal>
          <c:smooth val="0"/>
        </c:ser>
        <c:ser>
          <c:idx val="10"/>
          <c:order val="7"/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Lit>
              <c:formatCode>General</c:formatCode>
              <c:ptCount val="1"/>
              <c:pt idx="0">
                <c:v>1.65E-4</c:v>
              </c:pt>
            </c:numLit>
          </c:xVal>
          <c:yVal>
            <c:numLit>
              <c:formatCode>General</c:formatCode>
              <c:ptCount val="1"/>
              <c:pt idx="0">
                <c:v>730</c:v>
              </c:pt>
            </c:numLit>
          </c:yVal>
          <c:smooth val="0"/>
        </c:ser>
        <c:ser>
          <c:idx val="11"/>
          <c:order val="8"/>
          <c:spPr>
            <a:ln w="2857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Lit>
              <c:formatCode>General</c:formatCode>
              <c:ptCount val="1"/>
              <c:pt idx="0">
                <c:v>1.7000000000000001E-4</c:v>
              </c:pt>
            </c:numLit>
          </c:xVal>
          <c:yVal>
            <c:numLit>
              <c:formatCode>General</c:formatCode>
              <c:ptCount val="1"/>
              <c:pt idx="0">
                <c:v>300</c:v>
              </c:pt>
            </c:numLit>
          </c:yVal>
          <c:smooth val="0"/>
        </c:ser>
        <c:ser>
          <c:idx val="12"/>
          <c:order val="9"/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>
                  <a:alpha val="96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numLit>
              <c:formatCode>General</c:formatCode>
              <c:ptCount val="1"/>
              <c:pt idx="0">
                <c:v>1.7000000000000001E-4</c:v>
              </c:pt>
            </c:numLit>
          </c:xVal>
          <c:yVal>
            <c:numLit>
              <c:formatCode>General</c:formatCode>
              <c:ptCount val="1"/>
              <c:pt idx="0">
                <c:v>130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682216"/>
        <c:axId val="345682608"/>
      </c:scatterChart>
      <c:valAx>
        <c:axId val="345682216"/>
        <c:scaling>
          <c:logBase val="10"/>
          <c:orientation val="minMax"/>
          <c:max val="1000"/>
          <c:min val="1.0000000000000002E-4"/>
        </c:scaling>
        <c:delete val="0"/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GB" sz="1600" b="0"/>
                  <a:t>observations</a:t>
                </a:r>
              </a:p>
            </c:rich>
          </c:tx>
          <c:layout>
            <c:manualLayout>
              <c:xMode val="edge"/>
              <c:yMode val="edge"/>
              <c:x val="0.39355255703169262"/>
              <c:y val="0.9245346358276493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45682608"/>
        <c:crossesAt val="1.0000000000000003E-4"/>
        <c:crossBetween val="midCat"/>
        <c:majorUnit val="10"/>
      </c:valAx>
      <c:valAx>
        <c:axId val="345682608"/>
        <c:scaling>
          <c:logBase val="10"/>
          <c:orientation val="minMax"/>
          <c:max val="1000"/>
          <c:min val="1.0000000000000018E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GB" sz="1600" b="0"/>
                  <a:t>model</a:t>
                </a:r>
                <a:r>
                  <a:rPr lang="en-GB" sz="1600" b="0" baseline="0"/>
                  <a:t>s</a:t>
                </a:r>
                <a:endParaRPr lang="en-GB" sz="1600" b="0"/>
              </a:p>
            </c:rich>
          </c:tx>
          <c:layout>
            <c:manualLayout>
              <c:xMode val="edge"/>
              <c:yMode val="edge"/>
              <c:x val="2.5451223883358478E-3"/>
              <c:y val="0.368074234295514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45682216"/>
        <c:crossesAt val="1.0000000000000003E-4"/>
        <c:crossBetween val="midCat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0</xdr:rowOff>
    </xdr:from>
    <xdr:to>
      <xdr:col>16</xdr:col>
      <xdr:colOff>66675</xdr:colOff>
      <xdr:row>21</xdr:row>
      <xdr:rowOff>47624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0.14376</cdr:x>
      <cdr:y>0</cdr:y>
    </cdr:from>
    <cdr:to>
      <cdr:x>0.61894</cdr:x>
      <cdr:y>0.64198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1678" y="0"/>
          <a:ext cx="2054845" cy="24765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solidFill>
                <a:srgbClr val="368BFF"/>
              </a:solidFill>
            </a:rPr>
            <a:t>  </a:t>
          </a:r>
          <a:r>
            <a:rPr lang="en-GB" sz="1100">
              <a:solidFill>
                <a:sysClr val="windowText" lastClr="000000"/>
              </a:solidFill>
            </a:rPr>
            <a:t>aragonite</a:t>
          </a:r>
          <a:r>
            <a:rPr lang="en-GB" sz="1100" baseline="0">
              <a:solidFill>
                <a:sysClr val="windowText" lastClr="000000"/>
              </a:solidFill>
            </a:rPr>
            <a:t> production</a:t>
          </a:r>
        </a:p>
        <a:p xmlns:a="http://schemas.openxmlformats.org/drawingml/2006/main">
          <a:r>
            <a:rPr lang="en-GB" sz="1100">
              <a:solidFill>
                <a:srgbClr val="368BFF"/>
              </a:solidFill>
            </a:rPr>
            <a:t>  </a:t>
          </a:r>
          <a:r>
            <a:rPr lang="en-GB" sz="1100">
              <a:solidFill>
                <a:sysClr val="windowText" lastClr="000000"/>
              </a:solidFill>
            </a:rPr>
            <a:t>aragonite</a:t>
          </a:r>
          <a:r>
            <a:rPr lang="en-GB" sz="1100" baseline="0">
              <a:solidFill>
                <a:sysClr val="windowText" lastClr="000000"/>
              </a:solidFill>
            </a:rPr>
            <a:t> 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export</a:t>
          </a:r>
          <a:endParaRPr lang="en-GB" sz="1100" baseline="0">
            <a:solidFill>
              <a:sysClr val="windowText" lastClr="000000"/>
            </a:solidFill>
          </a:endParaRPr>
        </a:p>
        <a:p xmlns:a="http://schemas.openxmlformats.org/drawingml/2006/main">
          <a:r>
            <a:rPr lang="en-GB" sz="1100" baseline="0">
              <a:solidFill>
                <a:sysClr val="windowText" lastClr="000000"/>
              </a:solidFill>
            </a:rPr>
            <a:t>  aragonite/total CaCO</a:t>
          </a:r>
          <a:r>
            <a:rPr lang="en-GB" sz="800" baseline="0">
              <a:solidFill>
                <a:sysClr val="windowText" lastClr="000000"/>
              </a:solidFill>
            </a:rPr>
            <a:t>3</a:t>
          </a:r>
          <a:r>
            <a:rPr lang="en-GB" sz="1100" baseline="0">
              <a:solidFill>
                <a:sysClr val="windowText" lastClr="000000"/>
              </a:solidFill>
            </a:rPr>
            <a:t> 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export</a:t>
          </a: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endParaRPr lang="en-GB" sz="1100" baseline="0">
            <a:solidFill>
              <a:srgbClr val="368BFF"/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n-GB" sz="1100" baseline="0">
              <a:solidFill>
                <a:srgbClr val="368BFF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std</a:t>
          </a:r>
        </a:p>
        <a:p xmlns:a="http://schemas.openxmlformats.org/drawingml/2006/main">
          <a:r>
            <a:rPr lang="en-GB" sz="1100" baseline="0">
              <a:solidFill>
                <a:srgbClr val="368BFF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GB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exp</a:t>
          </a:r>
          <a:endParaRPr lang="en-GB" sz="1100">
            <a:solidFill>
              <a:srgbClr val="0000FF"/>
            </a:solidFill>
          </a:endParaRPr>
        </a:p>
      </cdr:txBody>
    </cdr:sp>
  </cdr:relSizeAnchor>
  <cdr:relSizeAnchor xmlns:cdr="http://schemas.openxmlformats.org/drawingml/2006/chartDrawing">
    <cdr:from>
      <cdr:x>0.57269</cdr:x>
      <cdr:y>0.13333</cdr:y>
    </cdr:from>
    <cdr:to>
      <cdr:x>0.78414</cdr:x>
      <cdr:y>0.37037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476500" y="5143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3"/>
  <sheetViews>
    <sheetView topLeftCell="A10" zoomScale="115" zoomScaleNormal="115" workbookViewId="0">
      <pane ySplit="1050" topLeftCell="A61" activePane="bottomLeft"/>
      <selection activeCell="L2" sqref="L2"/>
      <selection pane="bottomLeft" activeCell="J2" sqref="J2"/>
    </sheetView>
  </sheetViews>
  <sheetFormatPr defaultRowHeight="15" x14ac:dyDescent="0.25"/>
  <sheetData>
    <row r="2" spans="1:17" x14ac:dyDescent="0.25">
      <c r="B2" t="s">
        <v>15</v>
      </c>
      <c r="C2" t="s">
        <v>16</v>
      </c>
      <c r="D2" t="s">
        <v>23</v>
      </c>
      <c r="E2" t="s">
        <v>12</v>
      </c>
      <c r="F2" t="s">
        <v>13</v>
      </c>
      <c r="G2" t="s">
        <v>4</v>
      </c>
      <c r="H2" t="s">
        <v>30</v>
      </c>
      <c r="I2" t="s">
        <v>31</v>
      </c>
      <c r="J2" t="s">
        <v>39</v>
      </c>
      <c r="K2" t="s">
        <v>7</v>
      </c>
      <c r="L2" t="s">
        <v>2</v>
      </c>
      <c r="M2" t="s">
        <v>8</v>
      </c>
      <c r="N2" t="s">
        <v>3</v>
      </c>
      <c r="O2" t="s">
        <v>9</v>
      </c>
      <c r="P2" t="s">
        <v>24</v>
      </c>
      <c r="Q2" t="s">
        <v>25</v>
      </c>
    </row>
    <row r="3" spans="1:17" x14ac:dyDescent="0.25">
      <c r="K3">
        <f>COUNT(K6:K73)</f>
        <v>59</v>
      </c>
    </row>
    <row r="6" spans="1:17" x14ac:dyDescent="0.25">
      <c r="A6" t="s">
        <v>18</v>
      </c>
      <c r="B6">
        <v>1979</v>
      </c>
      <c r="C6">
        <v>7</v>
      </c>
      <c r="D6">
        <v>5</v>
      </c>
      <c r="E6">
        <f>5+21/60</f>
        <v>5.35</v>
      </c>
      <c r="F6">
        <f>-81-53/60</f>
        <v>-81.88333333333334</v>
      </c>
      <c r="G6">
        <v>677</v>
      </c>
      <c r="K6">
        <v>5.4</v>
      </c>
      <c r="L6">
        <v>12.7</v>
      </c>
      <c r="O6">
        <f>K6+20.4+12+4.8</f>
        <v>42.599999999999994</v>
      </c>
    </row>
    <row r="7" spans="1:17" x14ac:dyDescent="0.25">
      <c r="A7" t="s">
        <v>19</v>
      </c>
      <c r="E7">
        <f>5+21/60</f>
        <v>5.35</v>
      </c>
      <c r="F7">
        <f>-81-53/60</f>
        <v>-81.88333333333334</v>
      </c>
      <c r="G7">
        <v>1268</v>
      </c>
      <c r="K7">
        <v>2.7</v>
      </c>
      <c r="L7">
        <v>6.9</v>
      </c>
      <c r="O7">
        <f>K7+24.4+11.6+0.8</f>
        <v>39.499999999999993</v>
      </c>
    </row>
    <row r="8" spans="1:17" x14ac:dyDescent="0.25">
      <c r="A8" t="s">
        <v>20</v>
      </c>
      <c r="E8">
        <f>5+21/60</f>
        <v>5.35</v>
      </c>
      <c r="F8">
        <f>-81-53/60</f>
        <v>-81.88333333333334</v>
      </c>
      <c r="G8">
        <v>2869</v>
      </c>
      <c r="K8">
        <v>3</v>
      </c>
      <c r="L8">
        <v>5.7</v>
      </c>
      <c r="O8">
        <f>K8+34.3+14.9+1.1</f>
        <v>53.3</v>
      </c>
    </row>
    <row r="9" spans="1:17" x14ac:dyDescent="0.25">
      <c r="E9">
        <f>5+21/60</f>
        <v>5.35</v>
      </c>
      <c r="F9">
        <f>-81-53/60</f>
        <v>-81.88333333333334</v>
      </c>
      <c r="G9" s="3">
        <v>3769</v>
      </c>
      <c r="K9">
        <v>1.7</v>
      </c>
      <c r="L9">
        <v>3.9</v>
      </c>
      <c r="O9">
        <f>K9+28.8+12.9+0.5</f>
        <v>43.9</v>
      </c>
    </row>
    <row r="10" spans="1:17" x14ac:dyDescent="0.25">
      <c r="E10">
        <f>5+21/60</f>
        <v>5.35</v>
      </c>
      <c r="F10">
        <f>-81-53/60</f>
        <v>-81.88333333333334</v>
      </c>
      <c r="G10" s="3">
        <v>3791</v>
      </c>
      <c r="K10">
        <v>2.4</v>
      </c>
      <c r="L10">
        <v>4.9000000000000004</v>
      </c>
      <c r="O10">
        <f>K10+30.8+15.4+1</f>
        <v>49.6</v>
      </c>
    </row>
    <row r="11" spans="1:17" x14ac:dyDescent="0.25">
      <c r="B11">
        <v>1977</v>
      </c>
      <c r="C11">
        <v>11</v>
      </c>
      <c r="D11">
        <v>4</v>
      </c>
      <c r="E11">
        <v>13.5</v>
      </c>
      <c r="F11">
        <v>-54</v>
      </c>
      <c r="G11">
        <v>988</v>
      </c>
      <c r="K11">
        <v>3.4</v>
      </c>
      <c r="L11">
        <v>12.5</v>
      </c>
      <c r="O11">
        <f>K11+23.1+0.6</f>
        <v>27.1</v>
      </c>
    </row>
    <row r="12" spans="1:17" x14ac:dyDescent="0.25">
      <c r="E12">
        <v>13.5</v>
      </c>
      <c r="F12">
        <v>-54</v>
      </c>
      <c r="G12">
        <v>3755</v>
      </c>
      <c r="L12">
        <v>8</v>
      </c>
      <c r="O12">
        <f>1.8+23.7+0.6</f>
        <v>26.1</v>
      </c>
    </row>
    <row r="13" spans="1:17" x14ac:dyDescent="0.25">
      <c r="E13">
        <v>13.5</v>
      </c>
      <c r="F13">
        <v>-54</v>
      </c>
      <c r="G13" s="3">
        <v>5068</v>
      </c>
      <c r="L13">
        <v>11</v>
      </c>
      <c r="O13">
        <f>2+20.5+0.9</f>
        <v>23.4</v>
      </c>
    </row>
    <row r="14" spans="1:17" x14ac:dyDescent="0.25">
      <c r="A14" t="s">
        <v>21</v>
      </c>
      <c r="B14">
        <v>1982</v>
      </c>
      <c r="C14">
        <v>5</v>
      </c>
      <c r="D14">
        <f t="shared" ref="D14:D26" si="0">40/24/30</f>
        <v>5.5555555555555559E-2</v>
      </c>
      <c r="E14">
        <v>16</v>
      </c>
      <c r="F14">
        <v>167</v>
      </c>
      <c r="G14">
        <v>100</v>
      </c>
      <c r="K14">
        <v>50</v>
      </c>
    </row>
    <row r="15" spans="1:17" x14ac:dyDescent="0.25">
      <c r="B15">
        <v>1982</v>
      </c>
      <c r="C15">
        <v>6</v>
      </c>
      <c r="D15">
        <f t="shared" si="0"/>
        <v>5.5555555555555559E-2</v>
      </c>
      <c r="E15">
        <v>21</v>
      </c>
      <c r="F15">
        <v>167.5</v>
      </c>
      <c r="G15">
        <v>100</v>
      </c>
      <c r="K15">
        <v>32.6</v>
      </c>
    </row>
    <row r="16" spans="1:17" x14ac:dyDescent="0.25">
      <c r="B16">
        <v>1982</v>
      </c>
      <c r="C16">
        <v>6</v>
      </c>
      <c r="D16">
        <f t="shared" si="0"/>
        <v>5.5555555555555559E-2</v>
      </c>
      <c r="E16">
        <v>26</v>
      </c>
      <c r="F16">
        <v>168</v>
      </c>
      <c r="G16">
        <v>100</v>
      </c>
      <c r="K16">
        <v>16</v>
      </c>
    </row>
    <row r="17" spans="2:11" x14ac:dyDescent="0.25">
      <c r="B17">
        <v>1982</v>
      </c>
      <c r="C17">
        <v>6</v>
      </c>
      <c r="D17">
        <f t="shared" si="0"/>
        <v>5.5555555555555559E-2</v>
      </c>
      <c r="E17">
        <v>30</v>
      </c>
      <c r="F17">
        <v>168.5</v>
      </c>
      <c r="G17">
        <v>100</v>
      </c>
      <c r="K17">
        <v>29</v>
      </c>
    </row>
    <row r="18" spans="2:11" x14ac:dyDescent="0.25">
      <c r="B18">
        <v>1982</v>
      </c>
      <c r="C18">
        <v>6</v>
      </c>
      <c r="D18">
        <f t="shared" si="0"/>
        <v>5.5555555555555559E-2</v>
      </c>
      <c r="E18">
        <v>35</v>
      </c>
      <c r="F18">
        <v>169</v>
      </c>
      <c r="G18">
        <v>100</v>
      </c>
      <c r="K18">
        <v>45</v>
      </c>
    </row>
    <row r="19" spans="2:11" x14ac:dyDescent="0.25">
      <c r="B19">
        <v>1982</v>
      </c>
      <c r="C19">
        <v>6</v>
      </c>
      <c r="D19">
        <f t="shared" si="0"/>
        <v>5.5555555555555559E-2</v>
      </c>
      <c r="E19">
        <v>50</v>
      </c>
      <c r="F19">
        <v>177</v>
      </c>
      <c r="G19">
        <v>100</v>
      </c>
      <c r="K19">
        <f>(12+20+34+33)/4</f>
        <v>24.75</v>
      </c>
    </row>
    <row r="20" spans="2:11" x14ac:dyDescent="0.25">
      <c r="B20">
        <v>1982</v>
      </c>
      <c r="C20">
        <v>5</v>
      </c>
      <c r="D20">
        <f t="shared" si="0"/>
        <v>5.5555555555555559E-2</v>
      </c>
      <c r="E20">
        <v>16</v>
      </c>
      <c r="F20">
        <v>167</v>
      </c>
      <c r="G20">
        <v>400</v>
      </c>
      <c r="K20">
        <v>5.3</v>
      </c>
    </row>
    <row r="21" spans="2:11" x14ac:dyDescent="0.25">
      <c r="B21">
        <v>1982</v>
      </c>
      <c r="C21">
        <v>6</v>
      </c>
      <c r="D21">
        <f t="shared" si="0"/>
        <v>5.5555555555555559E-2</v>
      </c>
      <c r="E21">
        <v>21</v>
      </c>
      <c r="F21">
        <v>167.5</v>
      </c>
      <c r="G21">
        <v>400</v>
      </c>
      <c r="K21">
        <f>(8+4.5)/2</f>
        <v>6.25</v>
      </c>
    </row>
    <row r="22" spans="2:11" x14ac:dyDescent="0.25">
      <c r="B22">
        <v>1982</v>
      </c>
      <c r="C22">
        <v>6</v>
      </c>
      <c r="D22">
        <f t="shared" si="0"/>
        <v>5.5555555555555559E-2</v>
      </c>
      <c r="E22">
        <v>26</v>
      </c>
      <c r="F22">
        <v>168</v>
      </c>
      <c r="G22">
        <v>400</v>
      </c>
      <c r="K22">
        <v>0.85</v>
      </c>
    </row>
    <row r="23" spans="2:11" x14ac:dyDescent="0.25">
      <c r="B23">
        <v>1982</v>
      </c>
      <c r="C23">
        <v>6</v>
      </c>
      <c r="D23">
        <f t="shared" si="0"/>
        <v>5.5555555555555559E-2</v>
      </c>
      <c r="E23">
        <v>30</v>
      </c>
      <c r="F23">
        <v>168.5</v>
      </c>
      <c r="G23">
        <v>400</v>
      </c>
      <c r="K23">
        <v>1.55</v>
      </c>
    </row>
    <row r="24" spans="2:11" x14ac:dyDescent="0.25">
      <c r="B24">
        <v>1982</v>
      </c>
      <c r="C24">
        <v>6</v>
      </c>
      <c r="D24">
        <f t="shared" si="0"/>
        <v>5.5555555555555559E-2</v>
      </c>
      <c r="E24">
        <v>35</v>
      </c>
      <c r="F24">
        <v>169</v>
      </c>
      <c r="G24">
        <v>400</v>
      </c>
      <c r="K24">
        <f>(12.9+15.8)/2</f>
        <v>14.350000000000001</v>
      </c>
    </row>
    <row r="25" spans="2:11" x14ac:dyDescent="0.25">
      <c r="B25">
        <v>1982</v>
      </c>
      <c r="C25">
        <v>6</v>
      </c>
      <c r="D25">
        <f t="shared" si="0"/>
        <v>5.5555555555555559E-2</v>
      </c>
      <c r="E25">
        <v>46</v>
      </c>
      <c r="F25">
        <v>170</v>
      </c>
      <c r="G25">
        <v>400</v>
      </c>
      <c r="K25">
        <v>0.95</v>
      </c>
    </row>
    <row r="26" spans="2:11" x14ac:dyDescent="0.25">
      <c r="B26">
        <v>1982</v>
      </c>
      <c r="C26">
        <v>5</v>
      </c>
      <c r="D26">
        <f t="shared" si="0"/>
        <v>5.5555555555555559E-2</v>
      </c>
      <c r="E26">
        <v>16</v>
      </c>
      <c r="F26">
        <v>167</v>
      </c>
      <c r="G26">
        <v>900</v>
      </c>
      <c r="K26">
        <v>1.4</v>
      </c>
    </row>
    <row r="27" spans="2:11" x14ac:dyDescent="0.25">
      <c r="B27">
        <v>1982</v>
      </c>
      <c r="C27">
        <v>6</v>
      </c>
      <c r="D27">
        <f t="shared" ref="D27:D36" si="1">40/24/30</f>
        <v>5.5555555555555559E-2</v>
      </c>
      <c r="E27">
        <v>21</v>
      </c>
      <c r="F27">
        <v>167.5</v>
      </c>
      <c r="G27">
        <v>900</v>
      </c>
      <c r="K27">
        <v>1.7</v>
      </c>
    </row>
    <row r="28" spans="2:11" x14ac:dyDescent="0.25">
      <c r="B28">
        <v>1982</v>
      </c>
      <c r="C28">
        <v>6</v>
      </c>
      <c r="D28">
        <f t="shared" si="1"/>
        <v>5.5555555555555559E-2</v>
      </c>
      <c r="E28">
        <v>26</v>
      </c>
      <c r="F28">
        <v>168</v>
      </c>
      <c r="G28">
        <v>900</v>
      </c>
      <c r="K28">
        <v>0.1</v>
      </c>
    </row>
    <row r="29" spans="2:11" x14ac:dyDescent="0.25">
      <c r="B29">
        <v>1982</v>
      </c>
      <c r="C29">
        <v>6</v>
      </c>
      <c r="D29">
        <f t="shared" si="1"/>
        <v>5.5555555555555559E-2</v>
      </c>
      <c r="E29">
        <v>30</v>
      </c>
      <c r="F29">
        <v>168.5</v>
      </c>
      <c r="G29">
        <v>900</v>
      </c>
      <c r="K29">
        <v>1</v>
      </c>
    </row>
    <row r="30" spans="2:11" x14ac:dyDescent="0.25">
      <c r="B30">
        <v>1982</v>
      </c>
      <c r="C30">
        <v>6</v>
      </c>
      <c r="D30">
        <f t="shared" si="1"/>
        <v>5.5555555555555559E-2</v>
      </c>
      <c r="E30">
        <v>35</v>
      </c>
      <c r="F30">
        <v>169</v>
      </c>
      <c r="G30">
        <v>900</v>
      </c>
      <c r="K30">
        <v>6.5</v>
      </c>
    </row>
    <row r="31" spans="2:11" x14ac:dyDescent="0.25">
      <c r="B31">
        <v>1982</v>
      </c>
      <c r="C31">
        <v>6</v>
      </c>
      <c r="D31">
        <f t="shared" si="1"/>
        <v>5.5555555555555559E-2</v>
      </c>
      <c r="E31">
        <v>50</v>
      </c>
      <c r="F31">
        <v>177</v>
      </c>
      <c r="G31">
        <v>900</v>
      </c>
      <c r="K31">
        <v>0.95</v>
      </c>
    </row>
    <row r="32" spans="2:11" x14ac:dyDescent="0.25">
      <c r="B32">
        <v>1982</v>
      </c>
      <c r="C32">
        <v>6</v>
      </c>
      <c r="D32">
        <f t="shared" si="1"/>
        <v>5.5555555555555559E-2</v>
      </c>
      <c r="E32">
        <v>21</v>
      </c>
      <c r="F32">
        <v>167.5</v>
      </c>
      <c r="G32">
        <v>2200</v>
      </c>
      <c r="K32">
        <v>1.1000000000000001</v>
      </c>
    </row>
    <row r="33" spans="1:17" x14ac:dyDescent="0.25">
      <c r="B33">
        <v>1982</v>
      </c>
      <c r="C33">
        <v>6</v>
      </c>
      <c r="D33">
        <f t="shared" si="1"/>
        <v>5.5555555555555559E-2</v>
      </c>
      <c r="E33">
        <v>26</v>
      </c>
      <c r="F33">
        <v>168</v>
      </c>
      <c r="G33">
        <v>2200</v>
      </c>
      <c r="K33">
        <v>0.7</v>
      </c>
    </row>
    <row r="34" spans="1:17" x14ac:dyDescent="0.25">
      <c r="B34">
        <v>1982</v>
      </c>
      <c r="C34">
        <v>6</v>
      </c>
      <c r="D34">
        <f t="shared" si="1"/>
        <v>5.5555555555555559E-2</v>
      </c>
      <c r="E34">
        <v>30</v>
      </c>
      <c r="F34">
        <v>168.5</v>
      </c>
      <c r="G34">
        <v>2200</v>
      </c>
      <c r="K34">
        <v>0.6</v>
      </c>
    </row>
    <row r="35" spans="1:17" x14ac:dyDescent="0.25">
      <c r="B35">
        <v>1982</v>
      </c>
      <c r="C35">
        <v>6</v>
      </c>
      <c r="D35">
        <f t="shared" si="1"/>
        <v>5.5555555555555559E-2</v>
      </c>
      <c r="E35">
        <v>35</v>
      </c>
      <c r="F35">
        <v>169</v>
      </c>
      <c r="G35">
        <v>2200</v>
      </c>
      <c r="K35">
        <v>1.9</v>
      </c>
    </row>
    <row r="36" spans="1:17" x14ac:dyDescent="0.25">
      <c r="B36">
        <v>1982</v>
      </c>
      <c r="C36">
        <v>6</v>
      </c>
      <c r="D36">
        <f t="shared" si="1"/>
        <v>5.5555555555555559E-2</v>
      </c>
      <c r="E36">
        <v>46</v>
      </c>
      <c r="F36">
        <v>170</v>
      </c>
      <c r="G36">
        <v>2200</v>
      </c>
      <c r="K36">
        <v>0.2</v>
      </c>
    </row>
    <row r="37" spans="1:17" x14ac:dyDescent="0.25">
      <c r="A37" t="s">
        <v>22</v>
      </c>
      <c r="B37">
        <v>1985</v>
      </c>
      <c r="C37">
        <v>7</v>
      </c>
      <c r="D37">
        <v>0.03</v>
      </c>
      <c r="E37">
        <v>50</v>
      </c>
      <c r="F37">
        <v>-145</v>
      </c>
      <c r="H37">
        <v>222</v>
      </c>
      <c r="J37">
        <v>4.4000000000000004</v>
      </c>
      <c r="P37">
        <v>1950</v>
      </c>
      <c r="Q37">
        <v>72</v>
      </c>
    </row>
    <row r="38" spans="1:17" x14ac:dyDescent="0.25">
      <c r="A38" t="s">
        <v>10</v>
      </c>
      <c r="B38">
        <v>1986</v>
      </c>
      <c r="C38">
        <v>10</v>
      </c>
      <c r="D38">
        <v>0.03</v>
      </c>
      <c r="E38">
        <f>25+21/60</f>
        <v>25.35</v>
      </c>
      <c r="F38">
        <f>-77-54/60</f>
        <v>-77.900000000000006</v>
      </c>
      <c r="H38">
        <v>24.4</v>
      </c>
      <c r="J38">
        <v>2.8</v>
      </c>
    </row>
    <row r="39" spans="1:17" x14ac:dyDescent="0.25">
      <c r="A39" t="s">
        <v>11</v>
      </c>
      <c r="B39">
        <v>1985</v>
      </c>
      <c r="C39">
        <v>3</v>
      </c>
      <c r="D39">
        <v>0.03</v>
      </c>
      <c r="E39">
        <f>50/60</f>
        <v>0.83333333333333337</v>
      </c>
      <c r="F39">
        <f>-86</f>
        <v>-86</v>
      </c>
      <c r="H39">
        <v>56.7</v>
      </c>
      <c r="J39">
        <v>6.6</v>
      </c>
    </row>
    <row r="40" spans="1:17" x14ac:dyDescent="0.25">
      <c r="B40">
        <v>1983</v>
      </c>
      <c r="C40">
        <v>7</v>
      </c>
      <c r="D40">
        <v>0.03</v>
      </c>
      <c r="E40">
        <f>29+4/60</f>
        <v>29.066666666666666</v>
      </c>
      <c r="F40">
        <f>-136-59/60</f>
        <v>-136.98333333333332</v>
      </c>
      <c r="H40">
        <v>11.9</v>
      </c>
      <c r="J40">
        <v>1.4</v>
      </c>
    </row>
    <row r="41" spans="1:17" x14ac:dyDescent="0.25">
      <c r="A41" t="s">
        <v>38</v>
      </c>
      <c r="B41" t="s">
        <v>40</v>
      </c>
      <c r="D41">
        <v>54</v>
      </c>
      <c r="E41">
        <f>AVERAGE(-53.89,-60.498,-60.213,-60.221,-59.702,-58.872)</f>
        <v>-58.899333333333338</v>
      </c>
      <c r="F41">
        <f>AVERAGE(-37.907,-48.192,-44.452,-44.653,-44.036,-43.509)</f>
        <v>-43.791499999999992</v>
      </c>
      <c r="G41" t="s">
        <v>41</v>
      </c>
      <c r="H41">
        <v>72.22</v>
      </c>
      <c r="I41">
        <v>23.44</v>
      </c>
      <c r="J41">
        <v>4.16</v>
      </c>
    </row>
    <row r="42" spans="1:17" x14ac:dyDescent="0.25">
      <c r="A42" t="s">
        <v>33</v>
      </c>
      <c r="B42">
        <v>1984</v>
      </c>
      <c r="C42">
        <v>8</v>
      </c>
      <c r="D42">
        <v>12</v>
      </c>
      <c r="E42">
        <v>69.5</v>
      </c>
      <c r="F42">
        <v>10</v>
      </c>
      <c r="G42">
        <v>2761</v>
      </c>
      <c r="K42">
        <f>1.3/365*1000</f>
        <v>3.5616438356164388</v>
      </c>
      <c r="O42">
        <f>11.4/365*1000</f>
        <v>31.232876712328768</v>
      </c>
    </row>
    <row r="43" spans="1:17" x14ac:dyDescent="0.25">
      <c r="B43">
        <v>1984</v>
      </c>
      <c r="C43">
        <v>8</v>
      </c>
      <c r="D43">
        <v>12</v>
      </c>
      <c r="E43">
        <v>75.8</v>
      </c>
      <c r="F43">
        <v>11.5</v>
      </c>
      <c r="G43">
        <v>1700</v>
      </c>
      <c r="K43">
        <f>0.025/365*1000</f>
        <v>6.8493150684931517E-2</v>
      </c>
      <c r="O43">
        <f>6.61/365*1000</f>
        <v>18.109589041095894</v>
      </c>
    </row>
    <row r="44" spans="1:17" x14ac:dyDescent="0.25">
      <c r="B44">
        <v>1984</v>
      </c>
      <c r="C44">
        <v>8</v>
      </c>
      <c r="D44">
        <v>9</v>
      </c>
      <c r="E44">
        <v>78.8</v>
      </c>
      <c r="F44">
        <v>1.4</v>
      </c>
      <c r="G44">
        <v>2000</v>
      </c>
      <c r="K44">
        <f>0.023/365*1000</f>
        <v>6.3013698630136977E-2</v>
      </c>
      <c r="O44">
        <f>1.4/365*1000</f>
        <v>3.8356164383561642</v>
      </c>
    </row>
    <row r="45" spans="1:17" x14ac:dyDescent="0.25">
      <c r="A45" t="s">
        <v>0</v>
      </c>
      <c r="C45">
        <v>11</v>
      </c>
      <c r="E45">
        <f t="shared" ref="E45:E71" si="2">31+50/60</f>
        <v>31.833333333333332</v>
      </c>
      <c r="F45">
        <f t="shared" ref="F45:F71" si="3">-64-10/60</f>
        <v>-64.166666666666671</v>
      </c>
      <c r="G45">
        <v>500</v>
      </c>
      <c r="K45">
        <v>1.1000000000000001</v>
      </c>
      <c r="L45">
        <v>8</v>
      </c>
      <c r="O45">
        <v>14.7</v>
      </c>
    </row>
    <row r="46" spans="1:17" x14ac:dyDescent="0.25">
      <c r="A46" t="s">
        <v>1</v>
      </c>
      <c r="C46">
        <v>11</v>
      </c>
      <c r="E46">
        <f t="shared" si="2"/>
        <v>31.833333333333332</v>
      </c>
      <c r="F46">
        <f t="shared" si="3"/>
        <v>-64.166666666666671</v>
      </c>
      <c r="G46">
        <v>1500</v>
      </c>
      <c r="K46">
        <v>1.4</v>
      </c>
      <c r="L46">
        <v>9</v>
      </c>
      <c r="O46">
        <v>16</v>
      </c>
    </row>
    <row r="47" spans="1:17" x14ac:dyDescent="0.25">
      <c r="C47">
        <v>11</v>
      </c>
      <c r="E47">
        <f t="shared" si="2"/>
        <v>31.833333333333332</v>
      </c>
      <c r="F47">
        <f t="shared" si="3"/>
        <v>-64.166666666666671</v>
      </c>
      <c r="G47">
        <v>3200</v>
      </c>
      <c r="K47">
        <v>1.4</v>
      </c>
      <c r="L47">
        <v>9</v>
      </c>
      <c r="O47">
        <v>14.5</v>
      </c>
    </row>
    <row r="48" spans="1:17" x14ac:dyDescent="0.25">
      <c r="C48">
        <v>2</v>
      </c>
      <c r="E48">
        <f t="shared" si="2"/>
        <v>31.833333333333332</v>
      </c>
      <c r="F48">
        <f t="shared" si="3"/>
        <v>-64.166666666666671</v>
      </c>
      <c r="G48">
        <v>500</v>
      </c>
      <c r="K48">
        <v>5.3</v>
      </c>
      <c r="L48">
        <v>14</v>
      </c>
      <c r="O48">
        <v>39</v>
      </c>
    </row>
    <row r="49" spans="3:15" x14ac:dyDescent="0.25">
      <c r="C49">
        <v>2</v>
      </c>
      <c r="E49">
        <f t="shared" si="2"/>
        <v>31.833333333333332</v>
      </c>
      <c r="F49">
        <f t="shared" si="3"/>
        <v>-64.166666666666671</v>
      </c>
      <c r="G49">
        <v>1500</v>
      </c>
      <c r="K49">
        <v>3.9</v>
      </c>
      <c r="L49">
        <v>11</v>
      </c>
      <c r="O49">
        <v>33.5</v>
      </c>
    </row>
    <row r="50" spans="3:15" x14ac:dyDescent="0.25">
      <c r="C50">
        <v>2</v>
      </c>
      <c r="E50">
        <f t="shared" si="2"/>
        <v>31.833333333333332</v>
      </c>
      <c r="F50">
        <f t="shared" si="3"/>
        <v>-64.166666666666671</v>
      </c>
      <c r="G50">
        <v>3200</v>
      </c>
      <c r="K50">
        <v>3.1</v>
      </c>
      <c r="L50">
        <v>11</v>
      </c>
      <c r="O50">
        <v>28</v>
      </c>
    </row>
    <row r="51" spans="3:15" x14ac:dyDescent="0.25">
      <c r="C51">
        <v>4</v>
      </c>
      <c r="E51">
        <f t="shared" si="2"/>
        <v>31.833333333333332</v>
      </c>
      <c r="F51">
        <f t="shared" si="3"/>
        <v>-64.166666666666671</v>
      </c>
      <c r="G51">
        <v>500</v>
      </c>
      <c r="K51">
        <v>4</v>
      </c>
      <c r="L51">
        <v>24</v>
      </c>
      <c r="O51">
        <v>15.5</v>
      </c>
    </row>
    <row r="52" spans="3:15" x14ac:dyDescent="0.25">
      <c r="C52">
        <v>4</v>
      </c>
      <c r="E52">
        <f t="shared" si="2"/>
        <v>31.833333333333332</v>
      </c>
      <c r="F52">
        <f t="shared" si="3"/>
        <v>-64.166666666666671</v>
      </c>
      <c r="G52">
        <v>1500</v>
      </c>
      <c r="K52">
        <v>4.3</v>
      </c>
      <c r="L52">
        <v>17</v>
      </c>
      <c r="O52">
        <v>26.5</v>
      </c>
    </row>
    <row r="53" spans="3:15" x14ac:dyDescent="0.25">
      <c r="C53">
        <v>4</v>
      </c>
      <c r="E53">
        <f t="shared" si="2"/>
        <v>31.833333333333332</v>
      </c>
      <c r="F53">
        <f t="shared" si="3"/>
        <v>-64.166666666666671</v>
      </c>
      <c r="G53">
        <v>3200</v>
      </c>
      <c r="K53">
        <v>3.7</v>
      </c>
      <c r="L53">
        <v>13</v>
      </c>
      <c r="O53">
        <v>27.5</v>
      </c>
    </row>
    <row r="54" spans="3:15" x14ac:dyDescent="0.25">
      <c r="C54">
        <v>5</v>
      </c>
      <c r="E54">
        <f t="shared" si="2"/>
        <v>31.833333333333332</v>
      </c>
      <c r="F54">
        <f t="shared" si="3"/>
        <v>-64.166666666666671</v>
      </c>
      <c r="G54">
        <v>500</v>
      </c>
      <c r="K54">
        <v>3.3</v>
      </c>
      <c r="L54">
        <v>17</v>
      </c>
      <c r="O54">
        <v>17.5</v>
      </c>
    </row>
    <row r="55" spans="3:15" x14ac:dyDescent="0.25">
      <c r="C55">
        <v>5</v>
      </c>
      <c r="E55">
        <f t="shared" si="2"/>
        <v>31.833333333333332</v>
      </c>
      <c r="F55">
        <f t="shared" si="3"/>
        <v>-64.166666666666671</v>
      </c>
      <c r="G55">
        <v>1500</v>
      </c>
      <c r="K55">
        <v>2.8</v>
      </c>
      <c r="L55">
        <v>18</v>
      </c>
      <c r="O55">
        <v>15</v>
      </c>
    </row>
    <row r="56" spans="3:15" x14ac:dyDescent="0.25">
      <c r="C56">
        <v>5</v>
      </c>
      <c r="E56">
        <f t="shared" si="2"/>
        <v>31.833333333333332</v>
      </c>
      <c r="F56">
        <f t="shared" si="3"/>
        <v>-64.166666666666671</v>
      </c>
      <c r="G56">
        <v>3200</v>
      </c>
      <c r="K56">
        <v>2.2999999999999998</v>
      </c>
      <c r="L56">
        <v>13</v>
      </c>
      <c r="O56">
        <v>16</v>
      </c>
    </row>
    <row r="57" spans="3:15" x14ac:dyDescent="0.25">
      <c r="C57">
        <v>8</v>
      </c>
      <c r="E57">
        <f t="shared" si="2"/>
        <v>31.833333333333332</v>
      </c>
      <c r="F57">
        <f t="shared" si="3"/>
        <v>-64.166666666666671</v>
      </c>
      <c r="G57">
        <v>500</v>
      </c>
      <c r="K57">
        <v>2.9</v>
      </c>
      <c r="L57">
        <v>33</v>
      </c>
      <c r="O57">
        <v>8</v>
      </c>
    </row>
    <row r="58" spans="3:15" x14ac:dyDescent="0.25">
      <c r="C58">
        <v>8</v>
      </c>
      <c r="E58">
        <f t="shared" si="2"/>
        <v>31.833333333333332</v>
      </c>
      <c r="F58">
        <f t="shared" si="3"/>
        <v>-64.166666666666671</v>
      </c>
      <c r="G58">
        <v>1500</v>
      </c>
      <c r="K58">
        <v>2.4</v>
      </c>
      <c r="L58">
        <v>17</v>
      </c>
      <c r="O58">
        <v>14</v>
      </c>
    </row>
    <row r="59" spans="3:15" x14ac:dyDescent="0.25">
      <c r="C59">
        <v>8</v>
      </c>
      <c r="E59">
        <f t="shared" si="2"/>
        <v>31.833333333333332</v>
      </c>
      <c r="F59">
        <f t="shared" si="3"/>
        <v>-64.166666666666671</v>
      </c>
      <c r="G59">
        <v>3200</v>
      </c>
      <c r="K59">
        <v>3</v>
      </c>
      <c r="L59">
        <v>18</v>
      </c>
      <c r="O59">
        <v>21</v>
      </c>
    </row>
    <row r="60" spans="3:15" x14ac:dyDescent="0.25">
      <c r="C60">
        <v>10</v>
      </c>
      <c r="E60">
        <f t="shared" si="2"/>
        <v>31.833333333333332</v>
      </c>
      <c r="F60">
        <f t="shared" si="3"/>
        <v>-64.166666666666671</v>
      </c>
      <c r="G60">
        <v>500</v>
      </c>
      <c r="K60">
        <v>3.5</v>
      </c>
      <c r="L60">
        <v>35</v>
      </c>
      <c r="O60">
        <v>10</v>
      </c>
    </row>
    <row r="61" spans="3:15" x14ac:dyDescent="0.25">
      <c r="C61">
        <v>10</v>
      </c>
      <c r="E61">
        <f t="shared" si="2"/>
        <v>31.833333333333332</v>
      </c>
      <c r="F61">
        <f t="shared" si="3"/>
        <v>-64.166666666666671</v>
      </c>
      <c r="G61">
        <v>1500</v>
      </c>
      <c r="K61">
        <v>2.7</v>
      </c>
      <c r="L61">
        <v>17</v>
      </c>
      <c r="O61">
        <v>12.5</v>
      </c>
    </row>
    <row r="62" spans="3:15" x14ac:dyDescent="0.25">
      <c r="C62">
        <v>10</v>
      </c>
      <c r="E62">
        <f t="shared" si="2"/>
        <v>31.833333333333332</v>
      </c>
      <c r="F62">
        <f t="shared" si="3"/>
        <v>-64.166666666666671</v>
      </c>
      <c r="G62">
        <v>3200</v>
      </c>
      <c r="K62">
        <v>3.3</v>
      </c>
      <c r="L62">
        <v>15</v>
      </c>
      <c r="O62">
        <v>28.5</v>
      </c>
    </row>
    <row r="63" spans="3:15" x14ac:dyDescent="0.25">
      <c r="C63">
        <v>11</v>
      </c>
      <c r="E63">
        <f t="shared" si="2"/>
        <v>31.833333333333332</v>
      </c>
      <c r="F63">
        <f t="shared" si="3"/>
        <v>-64.166666666666671</v>
      </c>
      <c r="G63">
        <v>500</v>
      </c>
      <c r="K63">
        <v>2.9</v>
      </c>
      <c r="L63">
        <v>13</v>
      </c>
      <c r="O63">
        <v>21</v>
      </c>
    </row>
    <row r="64" spans="3:15" x14ac:dyDescent="0.25">
      <c r="C64">
        <v>11</v>
      </c>
      <c r="E64">
        <f t="shared" si="2"/>
        <v>31.833333333333332</v>
      </c>
      <c r="F64">
        <f t="shared" si="3"/>
        <v>-64.166666666666671</v>
      </c>
      <c r="G64">
        <v>1500</v>
      </c>
      <c r="K64">
        <v>5.2</v>
      </c>
      <c r="L64">
        <v>16</v>
      </c>
      <c r="O64">
        <v>14</v>
      </c>
    </row>
    <row r="65" spans="1:17" x14ac:dyDescent="0.25">
      <c r="C65">
        <v>11</v>
      </c>
      <c r="E65">
        <f t="shared" si="2"/>
        <v>31.833333333333332</v>
      </c>
      <c r="F65">
        <f t="shared" si="3"/>
        <v>-64.166666666666671</v>
      </c>
      <c r="G65">
        <v>3200</v>
      </c>
      <c r="K65">
        <v>3.5</v>
      </c>
      <c r="L65">
        <v>12</v>
      </c>
      <c r="O65">
        <v>32</v>
      </c>
    </row>
    <row r="66" spans="1:17" x14ac:dyDescent="0.25">
      <c r="A66" t="s">
        <v>6</v>
      </c>
      <c r="E66">
        <f t="shared" si="2"/>
        <v>31.833333333333332</v>
      </c>
      <c r="F66">
        <f t="shared" si="3"/>
        <v>-64.166666666666671</v>
      </c>
      <c r="G66">
        <v>500</v>
      </c>
      <c r="K66">
        <f t="shared" ref="K66:L68" si="4">AVERAGE(K45,K48,K51,K54,K57,K60,K63,)</f>
        <v>2.8749999999999996</v>
      </c>
      <c r="L66">
        <f t="shared" si="4"/>
        <v>18</v>
      </c>
    </row>
    <row r="67" spans="1:17" x14ac:dyDescent="0.25">
      <c r="E67">
        <f t="shared" si="2"/>
        <v>31.833333333333332</v>
      </c>
      <c r="F67">
        <f t="shared" si="3"/>
        <v>-64.166666666666671</v>
      </c>
      <c r="G67">
        <v>1500</v>
      </c>
      <c r="K67">
        <f t="shared" si="4"/>
        <v>2.8374999999999999</v>
      </c>
      <c r="L67">
        <f t="shared" si="4"/>
        <v>13.125</v>
      </c>
    </row>
    <row r="68" spans="1:17" x14ac:dyDescent="0.25">
      <c r="E68">
        <f t="shared" si="2"/>
        <v>31.833333333333332</v>
      </c>
      <c r="F68">
        <f t="shared" si="3"/>
        <v>-64.166666666666671</v>
      </c>
      <c r="G68">
        <v>3200</v>
      </c>
      <c r="K68">
        <f t="shared" si="4"/>
        <v>2.5375000000000001</v>
      </c>
      <c r="L68">
        <f t="shared" si="4"/>
        <v>11.375</v>
      </c>
    </row>
    <row r="69" spans="1:17" x14ac:dyDescent="0.25">
      <c r="A69" t="s">
        <v>5</v>
      </c>
      <c r="D69">
        <v>14</v>
      </c>
      <c r="E69">
        <f t="shared" si="2"/>
        <v>31.833333333333332</v>
      </c>
      <c r="F69">
        <f t="shared" si="3"/>
        <v>-64.166666666666671</v>
      </c>
      <c r="G69">
        <v>500</v>
      </c>
      <c r="K69">
        <v>3.2</v>
      </c>
      <c r="L69">
        <v>17</v>
      </c>
      <c r="O69">
        <v>19</v>
      </c>
      <c r="Q69" s="1"/>
    </row>
    <row r="70" spans="1:17" x14ac:dyDescent="0.25">
      <c r="D70">
        <v>14</v>
      </c>
      <c r="E70">
        <f t="shared" si="2"/>
        <v>31.833333333333332</v>
      </c>
      <c r="F70">
        <f t="shared" si="3"/>
        <v>-64.166666666666671</v>
      </c>
      <c r="G70">
        <v>1500</v>
      </c>
      <c r="K70">
        <v>3.2</v>
      </c>
      <c r="L70">
        <v>15</v>
      </c>
      <c r="O70">
        <v>22</v>
      </c>
      <c r="Q70" s="1"/>
    </row>
    <row r="71" spans="1:17" x14ac:dyDescent="0.25">
      <c r="D71">
        <v>14</v>
      </c>
      <c r="E71">
        <f t="shared" si="2"/>
        <v>31.833333333333332</v>
      </c>
      <c r="F71">
        <f t="shared" si="3"/>
        <v>-64.166666666666671</v>
      </c>
      <c r="G71">
        <v>3200</v>
      </c>
      <c r="K71">
        <v>2.9</v>
      </c>
      <c r="L71">
        <v>13</v>
      </c>
      <c r="O71">
        <v>22</v>
      </c>
      <c r="Q71" s="1"/>
    </row>
    <row r="72" spans="1:17" x14ac:dyDescent="0.25">
      <c r="A72" t="s">
        <v>28</v>
      </c>
      <c r="B72">
        <v>1988</v>
      </c>
      <c r="C72">
        <v>8</v>
      </c>
      <c r="D72">
        <v>0.5</v>
      </c>
      <c r="E72">
        <v>67.5</v>
      </c>
      <c r="F72">
        <v>5.5</v>
      </c>
      <c r="I72">
        <f>21.2/5/8.45*150</f>
        <v>75.266272189349124</v>
      </c>
    </row>
    <row r="73" spans="1:17" x14ac:dyDescent="0.25">
      <c r="A73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50" workbookViewId="0">
      <pane ySplit="600" activePane="bottomLeft"/>
      <selection activeCell="F1" sqref="F1:F1048576"/>
      <selection pane="bottomLeft" activeCell="A17" sqref="A17"/>
    </sheetView>
  </sheetViews>
  <sheetFormatPr defaultRowHeight="15" x14ac:dyDescent="0.25"/>
  <cols>
    <col min="7" max="7" width="12" bestFit="1" customWidth="1"/>
  </cols>
  <sheetData>
    <row r="1" spans="1:8" x14ac:dyDescent="0.25">
      <c r="B1" s="2">
        <v>1E-4</v>
      </c>
    </row>
    <row r="2" spans="1:8" x14ac:dyDescent="0.25">
      <c r="B2">
        <f>MAX(B6:O266)</f>
        <v>4740</v>
      </c>
    </row>
    <row r="3" spans="1:8" x14ac:dyDescent="0.25">
      <c r="A3" s="5"/>
      <c r="B3">
        <f>COUNT(B11:B53)</f>
        <v>43</v>
      </c>
    </row>
    <row r="4" spans="1:8" x14ac:dyDescent="0.25">
      <c r="A4" s="5"/>
      <c r="B4" t="s">
        <v>27</v>
      </c>
      <c r="C4" s="7" t="s">
        <v>42</v>
      </c>
      <c r="E4" s="1" t="s">
        <v>43</v>
      </c>
      <c r="F4" s="7" t="s">
        <v>42</v>
      </c>
      <c r="G4" s="7"/>
      <c r="H4" s="1" t="s">
        <v>43</v>
      </c>
    </row>
    <row r="5" spans="1:8" x14ac:dyDescent="0.25">
      <c r="C5" t="s">
        <v>36</v>
      </c>
      <c r="D5" t="s">
        <v>34</v>
      </c>
      <c r="E5" t="s">
        <v>35</v>
      </c>
      <c r="F5" t="s">
        <v>36</v>
      </c>
      <c r="G5" t="s">
        <v>34</v>
      </c>
      <c r="H5" t="s">
        <v>35</v>
      </c>
    </row>
    <row r="6" spans="1:8" x14ac:dyDescent="0.25">
      <c r="A6" t="s">
        <v>10</v>
      </c>
      <c r="B6">
        <v>24.4</v>
      </c>
      <c r="C6">
        <v>0.78449999999999998</v>
      </c>
      <c r="D6">
        <v>0.78359999999999996</v>
      </c>
      <c r="E6">
        <v>0.78549999999999998</v>
      </c>
      <c r="F6">
        <f>MAX(C6,0.0001)</f>
        <v>0.78449999999999998</v>
      </c>
      <c r="G6">
        <f>MAX(D6,0.0001)</f>
        <v>0.78359999999999996</v>
      </c>
      <c r="H6">
        <f>MAX(E6,0.0001)</f>
        <v>0.78549999999999998</v>
      </c>
    </row>
    <row r="7" spans="1:8" x14ac:dyDescent="0.25">
      <c r="A7" t="s">
        <v>14</v>
      </c>
      <c r="B7">
        <v>56.7</v>
      </c>
      <c r="C7">
        <v>837.6</v>
      </c>
      <c r="D7">
        <v>1529</v>
      </c>
      <c r="E7">
        <v>1.2789999999999999</v>
      </c>
      <c r="F7">
        <f>MAX(C7,0.0001)</f>
        <v>837.6</v>
      </c>
      <c r="G7">
        <f>MAX(D7,0.0001)</f>
        <v>1529</v>
      </c>
      <c r="H7">
        <f>MAX(E7,0.0001)</f>
        <v>1.2789999999999999</v>
      </c>
    </row>
    <row r="8" spans="1:8" x14ac:dyDescent="0.25">
      <c r="B8">
        <v>11.9</v>
      </c>
      <c r="C8">
        <v>3.9239999999999999</v>
      </c>
      <c r="D8">
        <v>24.81</v>
      </c>
      <c r="E8">
        <v>0.89070000000000005</v>
      </c>
      <c r="F8">
        <f>MAX(C8,0.0001)</f>
        <v>3.9239999999999999</v>
      </c>
      <c r="G8">
        <f>MAX(D8,0.0001)</f>
        <v>24.81</v>
      </c>
      <c r="H8">
        <f>MAX(E8,0.0001)</f>
        <v>0.89070000000000005</v>
      </c>
    </row>
    <row r="9" spans="1:8" x14ac:dyDescent="0.25">
      <c r="A9" t="s">
        <v>26</v>
      </c>
      <c r="B9">
        <v>222</v>
      </c>
      <c r="C9">
        <v>4740</v>
      </c>
      <c r="D9">
        <v>1.2270000000000001</v>
      </c>
      <c r="E9">
        <v>1.2649999999999999</v>
      </c>
      <c r="F9">
        <f>MAX(C9,0.0001)</f>
        <v>4740</v>
      </c>
      <c r="G9">
        <f>MAX(D9,0.0001)</f>
        <v>1.2270000000000001</v>
      </c>
      <c r="H9">
        <f>MAX(E9,0.0001)</f>
        <v>1.2649999999999999</v>
      </c>
    </row>
    <row r="10" spans="1:8" x14ac:dyDescent="0.25">
      <c r="A10" t="s">
        <v>28</v>
      </c>
      <c r="B10">
        <f>21.2/5/8.45*150</f>
        <v>75.266272189349124</v>
      </c>
      <c r="C10">
        <v>462.9</v>
      </c>
      <c r="D10">
        <v>752.3</v>
      </c>
      <c r="E10">
        <v>1.4</v>
      </c>
      <c r="F10">
        <f>MAX(C10,0.0001)</f>
        <v>462.9</v>
      </c>
      <c r="G10">
        <f>MAX(D10,0.0001)</f>
        <v>752.3</v>
      </c>
      <c r="H10">
        <f>MAX(E10,0.0001)</f>
        <v>1.4</v>
      </c>
    </row>
    <row r="11" spans="1:8" x14ac:dyDescent="0.25">
      <c r="A11" t="s">
        <v>10</v>
      </c>
      <c r="B11">
        <v>2.8</v>
      </c>
      <c r="C11">
        <v>1.279E-3</v>
      </c>
      <c r="D11" s="2">
        <v>8.3940000000000002E-4</v>
      </c>
      <c r="E11">
        <v>1.1620000000000001E-3</v>
      </c>
      <c r="F11">
        <f>MAX(C11,0.0001)</f>
        <v>1.279E-3</v>
      </c>
      <c r="G11">
        <f>MAX(D11,0.0001)</f>
        <v>8.3940000000000002E-4</v>
      </c>
      <c r="H11">
        <f>MAX(E11,0.0001)</f>
        <v>1.1620000000000001E-3</v>
      </c>
    </row>
    <row r="12" spans="1:8" x14ac:dyDescent="0.25">
      <c r="A12" t="s">
        <v>17</v>
      </c>
      <c r="B12">
        <v>6.6</v>
      </c>
      <c r="C12">
        <v>151.30000000000001</v>
      </c>
      <c r="D12">
        <v>235.2</v>
      </c>
      <c r="E12">
        <v>7.8770000000000003E-3</v>
      </c>
      <c r="F12">
        <f>MAX(C12,0.0001)</f>
        <v>151.30000000000001</v>
      </c>
      <c r="G12">
        <f>MAX(D12,0.0001)</f>
        <v>235.2</v>
      </c>
      <c r="H12">
        <f>MAX(E12,0.0001)</f>
        <v>7.8770000000000003E-3</v>
      </c>
    </row>
    <row r="13" spans="1:8" x14ac:dyDescent="0.25">
      <c r="B13">
        <v>1.4</v>
      </c>
      <c r="C13">
        <v>0.2019</v>
      </c>
      <c r="D13">
        <v>4.7</v>
      </c>
      <c r="E13">
        <v>2.5379999999999999E-3</v>
      </c>
      <c r="F13">
        <f>MAX(C13,0.0001)</f>
        <v>0.2019</v>
      </c>
      <c r="G13">
        <f>MAX(D13,0.0001)</f>
        <v>4.7</v>
      </c>
      <c r="H13">
        <f>MAX(E13,0.0001)</f>
        <v>2.5379999999999999E-3</v>
      </c>
    </row>
    <row r="14" spans="1:8" x14ac:dyDescent="0.25">
      <c r="A14" t="s">
        <v>26</v>
      </c>
      <c r="B14">
        <v>4.4000000000000004</v>
      </c>
      <c r="C14">
        <v>809.2</v>
      </c>
      <c r="D14">
        <v>2.8500000000000001E-3</v>
      </c>
      <c r="E14">
        <v>2.5049999999999998E-3</v>
      </c>
      <c r="F14">
        <f>MAX(C14,0.0001)</f>
        <v>809.2</v>
      </c>
      <c r="G14">
        <f>MAX(D14,0.0001)</f>
        <v>2.8500000000000001E-3</v>
      </c>
      <c r="H14">
        <f>MAX(E14,0.0001)</f>
        <v>2.5049999999999998E-3</v>
      </c>
    </row>
    <row r="15" spans="1:8" x14ac:dyDescent="0.25">
      <c r="A15" t="s">
        <v>38</v>
      </c>
      <c r="B15">
        <v>4.16</v>
      </c>
      <c r="C15" s="2">
        <v>9.6669999999999994E-5</v>
      </c>
      <c r="D15" s="2">
        <v>1.1790000000000001E-4</v>
      </c>
      <c r="E15" s="2">
        <v>1.106E-4</v>
      </c>
      <c r="F15">
        <f>MAX(C15,0.0001)</f>
        <v>1E-4</v>
      </c>
      <c r="G15">
        <f>MAX(D15,0.0001)</f>
        <v>1.1790000000000001E-4</v>
      </c>
      <c r="H15">
        <f>MAX(E15,0.0001)</f>
        <v>1.106E-4</v>
      </c>
    </row>
    <row r="16" spans="1:8" x14ac:dyDescent="0.25">
      <c r="A16" t="s">
        <v>32</v>
      </c>
      <c r="B16">
        <v>5.4</v>
      </c>
      <c r="C16">
        <v>0.58809999999999996</v>
      </c>
      <c r="D16">
        <v>2.649</v>
      </c>
      <c r="E16">
        <v>1.186E-3</v>
      </c>
      <c r="F16">
        <f>MAX(C16,0.0001)</f>
        <v>0.58809999999999996</v>
      </c>
      <c r="G16">
        <f>MAX(D16,0.0001)</f>
        <v>2.649</v>
      </c>
      <c r="H16">
        <f>MAX(E16,0.0001)</f>
        <v>1.186E-3</v>
      </c>
    </row>
    <row r="17" spans="1:8" x14ac:dyDescent="0.25">
      <c r="A17" t="s">
        <v>7</v>
      </c>
      <c r="B17">
        <v>2.7</v>
      </c>
      <c r="C17">
        <v>3.0460000000000001E-2</v>
      </c>
      <c r="D17">
        <v>0.17030000000000001</v>
      </c>
      <c r="E17" s="2">
        <v>1.156E-4</v>
      </c>
      <c r="F17">
        <f>MAX(C17,0.0001)</f>
        <v>3.0460000000000001E-2</v>
      </c>
      <c r="G17">
        <f>MAX(D17,0.0001)</f>
        <v>0.17030000000000001</v>
      </c>
      <c r="H17">
        <f>MAX(E17,0.0001)</f>
        <v>1.156E-4</v>
      </c>
    </row>
    <row r="18" spans="1:8" x14ac:dyDescent="0.25">
      <c r="B18">
        <v>3</v>
      </c>
      <c r="C18" s="2">
        <v>1.6619999999999999E-8</v>
      </c>
      <c r="D18" s="2">
        <v>9.7069999999999995E-8</v>
      </c>
      <c r="E18" s="2">
        <v>8.032E-11</v>
      </c>
      <c r="F18">
        <f>MAX(C18,0.0001)</f>
        <v>1E-4</v>
      </c>
      <c r="G18">
        <f>MAX(D18,0.0001)</f>
        <v>1E-4</v>
      </c>
      <c r="H18">
        <f>MAX(E18,0.0001)</f>
        <v>1E-4</v>
      </c>
    </row>
    <row r="19" spans="1:8" x14ac:dyDescent="0.25">
      <c r="B19">
        <v>3.4</v>
      </c>
      <c r="C19">
        <v>3.0590000000000002</v>
      </c>
      <c r="D19">
        <v>9.7600000000000006E-2</v>
      </c>
      <c r="E19">
        <v>0.10630000000000001</v>
      </c>
      <c r="F19">
        <f>MAX(C19,0.0001)</f>
        <v>3.0590000000000002</v>
      </c>
      <c r="G19">
        <f>MAX(D19,0.0001)</f>
        <v>9.7600000000000006E-2</v>
      </c>
      <c r="H19">
        <f>MAX(E19,0.0001)</f>
        <v>0.10630000000000001</v>
      </c>
    </row>
    <row r="20" spans="1:8" x14ac:dyDescent="0.25">
      <c r="A20" t="s">
        <v>21</v>
      </c>
      <c r="B20">
        <v>50</v>
      </c>
      <c r="C20" s="2">
        <v>8.5669999999999998E-5</v>
      </c>
      <c r="D20">
        <v>9.4230000000000008E-3</v>
      </c>
      <c r="E20">
        <v>5.4650000000000002E-3</v>
      </c>
      <c r="F20">
        <f>MAX(C20,0.0001)</f>
        <v>1E-4</v>
      </c>
      <c r="G20">
        <f>MAX(D20,0.0001)</f>
        <v>9.4230000000000008E-3</v>
      </c>
      <c r="H20">
        <f>MAX(E20,0.0001)</f>
        <v>5.4650000000000002E-3</v>
      </c>
    </row>
    <row r="21" spans="1:8" x14ac:dyDescent="0.25">
      <c r="A21" t="s">
        <v>7</v>
      </c>
      <c r="B21">
        <v>32.6</v>
      </c>
      <c r="C21">
        <v>9.5530000000000004E-2</v>
      </c>
      <c r="D21">
        <v>0.80379999999999996</v>
      </c>
      <c r="E21">
        <v>1.2459999999999999E-3</v>
      </c>
      <c r="F21">
        <f>MAX(C21,0.0001)</f>
        <v>9.5530000000000004E-2</v>
      </c>
      <c r="G21">
        <f>MAX(D21,0.0001)</f>
        <v>0.80379999999999996</v>
      </c>
      <c r="H21">
        <f>MAX(E21,0.0001)</f>
        <v>1.2459999999999999E-3</v>
      </c>
    </row>
    <row r="22" spans="1:8" x14ac:dyDescent="0.25">
      <c r="B22">
        <v>16</v>
      </c>
      <c r="C22" s="2">
        <v>3.431</v>
      </c>
      <c r="D22" s="2">
        <v>8.475E-5</v>
      </c>
      <c r="E22">
        <v>1.8879999999999999E-3</v>
      </c>
      <c r="F22">
        <f>MAX(C22,0.0001)</f>
        <v>3.431</v>
      </c>
      <c r="G22">
        <f>MAX(D22,0.0001)</f>
        <v>1E-4</v>
      </c>
      <c r="H22">
        <f>MAX(E22,0.0001)</f>
        <v>1.8879999999999999E-3</v>
      </c>
    </row>
    <row r="23" spans="1:8" x14ac:dyDescent="0.25">
      <c r="B23">
        <v>29</v>
      </c>
      <c r="C23">
        <v>64.510000000000005</v>
      </c>
      <c r="D23">
        <v>4.9250000000000002E-2</v>
      </c>
      <c r="E23">
        <v>3.8730000000000001E-3</v>
      </c>
      <c r="F23">
        <f>MAX(C23,0.0001)</f>
        <v>64.510000000000005</v>
      </c>
      <c r="G23">
        <f>MAX(D23,0.0001)</f>
        <v>4.9250000000000002E-2</v>
      </c>
      <c r="H23">
        <f>MAX(E23,0.0001)</f>
        <v>3.8730000000000001E-3</v>
      </c>
    </row>
    <row r="24" spans="1:8" x14ac:dyDescent="0.25">
      <c r="B24">
        <v>45</v>
      </c>
      <c r="C24" s="2">
        <v>65.69</v>
      </c>
      <c r="D24">
        <v>1.9790000000000001</v>
      </c>
      <c r="E24">
        <v>3.8530000000000001E-3</v>
      </c>
      <c r="F24">
        <f>MAX(C24,0.0001)</f>
        <v>65.69</v>
      </c>
      <c r="G24">
        <f>MAX(D24,0.0001)</f>
        <v>1.9790000000000001</v>
      </c>
      <c r="H24">
        <f>MAX(E24,0.0001)</f>
        <v>3.8530000000000001E-3</v>
      </c>
    </row>
    <row r="25" spans="1:8" x14ac:dyDescent="0.25">
      <c r="B25">
        <f>(12+20+34+33)/4</f>
        <v>24.75</v>
      </c>
      <c r="C25">
        <v>34.479999999999997</v>
      </c>
      <c r="D25" s="2">
        <v>8.0420000000000006E-5</v>
      </c>
      <c r="E25">
        <v>1.5120000000000001E-3</v>
      </c>
      <c r="F25">
        <f>MAX(C25,0.0001)</f>
        <v>34.479999999999997</v>
      </c>
      <c r="G25">
        <f>MAX(D25,0.0001)</f>
        <v>1E-4</v>
      </c>
      <c r="H25">
        <f>MAX(E25,0.0001)</f>
        <v>1.5120000000000001E-3</v>
      </c>
    </row>
    <row r="26" spans="1:8" x14ac:dyDescent="0.25">
      <c r="B26">
        <v>5.3</v>
      </c>
      <c r="C26" s="2">
        <v>1.741E-4</v>
      </c>
      <c r="D26">
        <v>2.2870000000000001E-2</v>
      </c>
      <c r="E26">
        <v>5.359E-3</v>
      </c>
      <c r="F26">
        <f>MAX(C26,0.0001)</f>
        <v>1.741E-4</v>
      </c>
      <c r="G26">
        <f>MAX(D26,0.0001)</f>
        <v>2.2870000000000001E-2</v>
      </c>
      <c r="H26">
        <f>MAX(E26,0.0001)</f>
        <v>5.359E-3</v>
      </c>
    </row>
    <row r="27" spans="1:8" x14ac:dyDescent="0.25">
      <c r="B27">
        <f>(8+4.5)/2</f>
        <v>6.25</v>
      </c>
      <c r="C27">
        <v>9.554E-2</v>
      </c>
      <c r="D27">
        <v>0.86160000000000003</v>
      </c>
      <c r="E27">
        <v>1.5900000000000001E-3</v>
      </c>
      <c r="F27">
        <f>MAX(C27,0.0001)</f>
        <v>9.554E-2</v>
      </c>
      <c r="G27">
        <f>MAX(D27,0.0001)</f>
        <v>0.86160000000000003</v>
      </c>
      <c r="H27">
        <f>MAX(E27,0.0001)</f>
        <v>1.5900000000000001E-3</v>
      </c>
    </row>
    <row r="28" spans="1:8" x14ac:dyDescent="0.25">
      <c r="B28">
        <v>0.85</v>
      </c>
      <c r="C28" s="2">
        <v>4.4619999999999997</v>
      </c>
      <c r="D28" s="2">
        <v>2.2699999999999999E-4</v>
      </c>
      <c r="E28">
        <v>2.1679999999999998E-3</v>
      </c>
      <c r="F28">
        <f>MAX(C28,0.0001)</f>
        <v>4.4619999999999997</v>
      </c>
      <c r="G28">
        <f>MAX(D28,0.0001)</f>
        <v>2.2699999999999999E-4</v>
      </c>
      <c r="H28">
        <f>MAX(E28,0.0001)</f>
        <v>2.1679999999999998E-3</v>
      </c>
    </row>
    <row r="29" spans="1:8" x14ac:dyDescent="0.25">
      <c r="B29">
        <v>1.55</v>
      </c>
      <c r="C29">
        <v>65.25</v>
      </c>
      <c r="D29">
        <v>8.7489999999999998E-2</v>
      </c>
      <c r="E29">
        <v>4.2770000000000004E-3</v>
      </c>
      <c r="F29">
        <f>MAX(C29,0.0001)</f>
        <v>65.25</v>
      </c>
      <c r="G29">
        <f>MAX(D29,0.0001)</f>
        <v>8.7489999999999998E-2</v>
      </c>
      <c r="H29">
        <f>MAX(E29,0.0001)</f>
        <v>4.2770000000000004E-3</v>
      </c>
    </row>
    <row r="30" spans="1:8" x14ac:dyDescent="0.25">
      <c r="B30">
        <f>(12.9+15.8)/2</f>
        <v>14.350000000000001</v>
      </c>
      <c r="C30" s="2">
        <v>68.900000000000006</v>
      </c>
      <c r="D30">
        <v>2.2930000000000001</v>
      </c>
      <c r="E30">
        <v>4.1859999999999996E-3</v>
      </c>
      <c r="F30">
        <f>MAX(C30,0.0001)</f>
        <v>68.900000000000006</v>
      </c>
      <c r="G30">
        <f>MAX(D30,0.0001)</f>
        <v>2.2930000000000001</v>
      </c>
      <c r="H30">
        <f>MAX(E30,0.0001)</f>
        <v>4.1859999999999996E-3</v>
      </c>
    </row>
    <row r="31" spans="1:8" x14ac:dyDescent="0.25">
      <c r="B31">
        <v>0.95</v>
      </c>
      <c r="C31">
        <v>34</v>
      </c>
      <c r="D31">
        <v>3.9360000000000003E-3</v>
      </c>
      <c r="E31">
        <v>2.7320000000000001E-3</v>
      </c>
      <c r="F31">
        <f>MAX(C31,0.0001)</f>
        <v>34</v>
      </c>
      <c r="G31">
        <f>MAX(D31,0.0001)</f>
        <v>3.9360000000000003E-3</v>
      </c>
      <c r="H31">
        <f>MAX(E31,0.0001)</f>
        <v>2.7320000000000001E-3</v>
      </c>
    </row>
    <row r="32" spans="1:8" x14ac:dyDescent="0.25">
      <c r="B32">
        <v>1.4</v>
      </c>
      <c r="C32" s="2">
        <v>2.33E-4</v>
      </c>
      <c r="D32">
        <v>3.6949999999999997E-2</v>
      </c>
      <c r="E32">
        <v>5.0229999999999997E-3</v>
      </c>
      <c r="F32">
        <f>MAX(C32,0.0001)</f>
        <v>2.33E-4</v>
      </c>
      <c r="G32">
        <f>MAX(D32,0.0001)</f>
        <v>3.6949999999999997E-2</v>
      </c>
      <c r="H32">
        <f>MAX(E32,0.0001)</f>
        <v>5.0229999999999997E-3</v>
      </c>
    </row>
    <row r="33" spans="1:8" x14ac:dyDescent="0.25">
      <c r="B33">
        <v>1.7</v>
      </c>
      <c r="C33">
        <v>8.4699999999999998E-2</v>
      </c>
      <c r="D33">
        <v>1.0880000000000001</v>
      </c>
      <c r="E33">
        <v>1.709E-3</v>
      </c>
      <c r="F33">
        <f>MAX(C33,0.0001)</f>
        <v>8.4699999999999998E-2</v>
      </c>
      <c r="G33">
        <f>MAX(D33,0.0001)</f>
        <v>1.0880000000000001</v>
      </c>
      <c r="H33">
        <f>MAX(E33,0.0001)</f>
        <v>1.709E-3</v>
      </c>
    </row>
    <row r="34" spans="1:8" x14ac:dyDescent="0.25">
      <c r="B34">
        <v>0.1</v>
      </c>
      <c r="C34" s="2">
        <v>5.2489999999999997</v>
      </c>
      <c r="D34" s="2">
        <v>5.5449999999999998E-4</v>
      </c>
      <c r="E34">
        <v>2.065E-3</v>
      </c>
      <c r="F34">
        <f>MAX(C34,0.0001)</f>
        <v>5.2489999999999997</v>
      </c>
      <c r="G34">
        <f>MAX(D34,0.0001)</f>
        <v>5.5449999999999998E-4</v>
      </c>
      <c r="H34">
        <f>MAX(E34,0.0001)</f>
        <v>2.065E-3</v>
      </c>
    </row>
    <row r="35" spans="1:8" x14ac:dyDescent="0.25">
      <c r="B35">
        <v>1</v>
      </c>
      <c r="C35">
        <v>64.989999999999995</v>
      </c>
      <c r="D35">
        <v>0.13400000000000001</v>
      </c>
      <c r="E35">
        <v>3.9230000000000003E-3</v>
      </c>
      <c r="F35">
        <f>MAX(C35,0.0001)</f>
        <v>64.989999999999995</v>
      </c>
      <c r="G35">
        <f>MAX(D35,0.0001)</f>
        <v>0.13400000000000001</v>
      </c>
      <c r="H35">
        <f>MAX(E35,0.0001)</f>
        <v>3.9230000000000003E-3</v>
      </c>
    </row>
    <row r="36" spans="1:8" x14ac:dyDescent="0.25">
      <c r="B36">
        <v>6.5</v>
      </c>
      <c r="C36" s="2">
        <v>67.150000000000006</v>
      </c>
      <c r="D36">
        <v>2.83</v>
      </c>
      <c r="E36">
        <v>4.3930000000000002E-3</v>
      </c>
      <c r="F36">
        <f>MAX(C36,0.0001)</f>
        <v>67.150000000000006</v>
      </c>
      <c r="G36">
        <f>MAX(D36,0.0001)</f>
        <v>2.83</v>
      </c>
      <c r="H36">
        <f>MAX(E36,0.0001)</f>
        <v>4.3930000000000002E-3</v>
      </c>
    </row>
    <row r="37" spans="1:8" x14ac:dyDescent="0.25">
      <c r="B37">
        <v>0.95</v>
      </c>
      <c r="C37">
        <v>2.5070000000000001</v>
      </c>
      <c r="D37" s="2">
        <v>3.6600000000000001E-6</v>
      </c>
      <c r="E37" s="2">
        <v>7.0580000000000005E-5</v>
      </c>
      <c r="F37">
        <f>MAX(C37,0.0001)</f>
        <v>2.5070000000000001</v>
      </c>
      <c r="G37">
        <f>MAX(D37,0.0001)</f>
        <v>1E-4</v>
      </c>
      <c r="H37">
        <f>MAX(E37,0.0001)</f>
        <v>1E-4</v>
      </c>
    </row>
    <row r="38" spans="1:8" x14ac:dyDescent="0.25">
      <c r="B38">
        <v>1.1000000000000001</v>
      </c>
      <c r="C38" s="2">
        <v>3.8229999999999998E-5</v>
      </c>
      <c r="D38" s="2">
        <v>4.1740000000000001E-4</v>
      </c>
      <c r="E38" s="2">
        <v>1.1850000000000001E-6</v>
      </c>
      <c r="F38">
        <f>MAX(C38,0.0001)</f>
        <v>1E-4</v>
      </c>
      <c r="G38">
        <f>MAX(D38,0.0001)</f>
        <v>4.1740000000000001E-4</v>
      </c>
      <c r="H38">
        <f>MAX(E38,0.0001)</f>
        <v>1E-4</v>
      </c>
    </row>
    <row r="39" spans="1:8" x14ac:dyDescent="0.25">
      <c r="B39">
        <v>0.7</v>
      </c>
      <c r="C39">
        <v>2.9659999999999999E-3</v>
      </c>
      <c r="D39" s="2">
        <v>2.3559999999999999E-7</v>
      </c>
      <c r="E39" s="2">
        <v>8.5740000000000004E-7</v>
      </c>
      <c r="F39">
        <f>MAX(C39,0.0001)</f>
        <v>2.9659999999999999E-3</v>
      </c>
      <c r="G39">
        <f>MAX(D39,0.0001)</f>
        <v>1E-4</v>
      </c>
      <c r="H39">
        <f>MAX(E39,0.0001)</f>
        <v>1E-4</v>
      </c>
    </row>
    <row r="40" spans="1:8" x14ac:dyDescent="0.25">
      <c r="B40">
        <v>0.6</v>
      </c>
      <c r="C40" s="2">
        <v>3.5950000000000003E-2</v>
      </c>
      <c r="D40" s="2">
        <v>5.7939999999999998E-5</v>
      </c>
      <c r="E40" s="2">
        <v>1.5239999999999999E-6</v>
      </c>
      <c r="F40">
        <f>MAX(C40,0.0001)</f>
        <v>3.5950000000000003E-2</v>
      </c>
      <c r="G40">
        <f>MAX(D40,0.0001)</f>
        <v>1E-4</v>
      </c>
      <c r="H40">
        <f>MAX(E40,0.0001)</f>
        <v>1E-4</v>
      </c>
    </row>
    <row r="41" spans="1:8" x14ac:dyDescent="0.25">
      <c r="B41">
        <v>1.9</v>
      </c>
      <c r="C41">
        <v>3.209E-2</v>
      </c>
      <c r="D41" s="2">
        <v>9.5239999999999995E-4</v>
      </c>
      <c r="E41" s="2">
        <v>1.5340000000000001E-6</v>
      </c>
      <c r="F41">
        <f>MAX(C41,0.0001)</f>
        <v>3.209E-2</v>
      </c>
      <c r="G41">
        <f>MAX(D41,0.0001)</f>
        <v>9.5239999999999995E-4</v>
      </c>
      <c r="H41">
        <f>MAX(E41,0.0001)</f>
        <v>1E-4</v>
      </c>
    </row>
    <row r="42" spans="1:8" x14ac:dyDescent="0.25">
      <c r="B42">
        <v>0.2</v>
      </c>
      <c r="C42" s="2">
        <v>3.2830000000000001E-4</v>
      </c>
      <c r="D42" s="2">
        <v>7.1379999999999995E-8</v>
      </c>
      <c r="E42" s="2">
        <v>3.9139999999999998E-8</v>
      </c>
      <c r="F42">
        <f>MAX(C42,0.0001)</f>
        <v>3.2830000000000001E-4</v>
      </c>
      <c r="G42">
        <f>MAX(D42,0.0001)</f>
        <v>1E-4</v>
      </c>
      <c r="H42">
        <f>MAX(E42,0.0001)</f>
        <v>1E-4</v>
      </c>
    </row>
    <row r="43" spans="1:8" x14ac:dyDescent="0.25">
      <c r="A43" t="s">
        <v>0</v>
      </c>
      <c r="B43">
        <v>3.2</v>
      </c>
      <c r="C43">
        <v>3.8319999999999999E-4</v>
      </c>
      <c r="D43" s="2">
        <v>1.083E-4</v>
      </c>
      <c r="E43" s="6">
        <v>1.8890000000000001E-3</v>
      </c>
      <c r="F43">
        <f>MAX(C43,0.0001)</f>
        <v>3.8319999999999999E-4</v>
      </c>
      <c r="G43">
        <f>MAX(D43,0.0001)</f>
        <v>1.083E-4</v>
      </c>
      <c r="H43">
        <f>MAX(E43,0.0001)</f>
        <v>1.8890000000000001E-3</v>
      </c>
    </row>
    <row r="44" spans="1:8" x14ac:dyDescent="0.25">
      <c r="A44" t="s">
        <v>7</v>
      </c>
      <c r="B44">
        <v>3.2</v>
      </c>
      <c r="C44" s="2">
        <v>1.4480000000000001E-3</v>
      </c>
      <c r="D44" s="2">
        <v>1.131E-4</v>
      </c>
      <c r="E44" s="6">
        <v>1.9070000000000001E-3</v>
      </c>
      <c r="F44">
        <f>MAX(C44,0.0001)</f>
        <v>1.4480000000000001E-3</v>
      </c>
      <c r="G44">
        <f>MAX(D44,0.0001)</f>
        <v>1.131E-4</v>
      </c>
      <c r="H44">
        <f>MAX(E44,0.0001)</f>
        <v>1.9070000000000001E-3</v>
      </c>
    </row>
    <row r="45" spans="1:8" x14ac:dyDescent="0.25">
      <c r="B45">
        <v>2.9</v>
      </c>
      <c r="C45">
        <v>6.6639999999999998E-3</v>
      </c>
      <c r="D45" s="2">
        <v>1.718E-4</v>
      </c>
      <c r="E45" s="6">
        <v>2E-3</v>
      </c>
      <c r="F45">
        <f>MAX(C45,0.0001)</f>
        <v>6.6639999999999998E-3</v>
      </c>
      <c r="G45">
        <f>MAX(D45,0.0001)</f>
        <v>1.718E-4</v>
      </c>
      <c r="H45">
        <f>MAX(E45,0.0001)</f>
        <v>2E-3</v>
      </c>
    </row>
    <row r="46" spans="1:8" x14ac:dyDescent="0.25">
      <c r="A46" t="s">
        <v>32</v>
      </c>
      <c r="B46">
        <v>12.7</v>
      </c>
      <c r="C46" s="2">
        <v>91.29</v>
      </c>
      <c r="D46" s="2">
        <v>97.45</v>
      </c>
      <c r="E46" s="4">
        <v>1.2829999999999999</v>
      </c>
      <c r="F46">
        <f>MAX(C46,0.0001)</f>
        <v>91.29</v>
      </c>
      <c r="G46">
        <f>MAX(D46,0.0001)</f>
        <v>97.45</v>
      </c>
      <c r="H46">
        <f>MAX(E46,0.0001)</f>
        <v>1.2829999999999999</v>
      </c>
    </row>
    <row r="47" spans="1:8" x14ac:dyDescent="0.25">
      <c r="A47" t="s">
        <v>2</v>
      </c>
      <c r="B47">
        <v>6.9</v>
      </c>
      <c r="C47">
        <v>35.15</v>
      </c>
      <c r="D47" s="2">
        <v>71.17</v>
      </c>
      <c r="E47" s="4">
        <v>0.13619999999999999</v>
      </c>
      <c r="F47">
        <f>MAX(C47,0.0001)</f>
        <v>35.15</v>
      </c>
      <c r="G47">
        <f>MAX(D47,0.0001)</f>
        <v>71.17</v>
      </c>
      <c r="H47">
        <f>MAX(E47,0.0001)</f>
        <v>0.13619999999999999</v>
      </c>
    </row>
    <row r="48" spans="1:8" x14ac:dyDescent="0.25">
      <c r="B48">
        <v>5.7</v>
      </c>
      <c r="C48" s="2">
        <v>0.2266</v>
      </c>
      <c r="D48" s="2">
        <v>1.3759999999999999</v>
      </c>
      <c r="E48" s="2">
        <v>7.7689999999999996E-4</v>
      </c>
      <c r="F48">
        <f>MAX(C48,0.0001)</f>
        <v>0.2266</v>
      </c>
      <c r="G48">
        <f>MAX(D48,0.0001)</f>
        <v>1.3759999999999999</v>
      </c>
      <c r="H48">
        <f>MAX(E48,0.0001)</f>
        <v>7.7689999999999996E-4</v>
      </c>
    </row>
    <row r="49" spans="1:8" x14ac:dyDescent="0.25">
      <c r="B49">
        <v>12.5</v>
      </c>
      <c r="C49">
        <v>5.0919999999999996</v>
      </c>
      <c r="D49" s="2">
        <v>23.61</v>
      </c>
      <c r="E49" s="4">
        <v>0.58630000000000004</v>
      </c>
      <c r="F49">
        <f>MAX(C49,0.0001)</f>
        <v>5.0919999999999996</v>
      </c>
      <c r="G49">
        <f>MAX(D49,0.0001)</f>
        <v>23.61</v>
      </c>
      <c r="H49">
        <f>MAX(E49,0.0001)</f>
        <v>0.58630000000000004</v>
      </c>
    </row>
    <row r="50" spans="1:8" x14ac:dyDescent="0.25">
      <c r="B50">
        <v>8</v>
      </c>
      <c r="C50" s="2">
        <v>1.1950000000000001</v>
      </c>
      <c r="D50" s="2">
        <v>14.9</v>
      </c>
      <c r="E50" s="4">
        <v>0.54349999999999998</v>
      </c>
      <c r="F50">
        <f>MAX(C50,0.0001)</f>
        <v>1.1950000000000001</v>
      </c>
      <c r="G50">
        <f>MAX(D50,0.0001)</f>
        <v>14.9</v>
      </c>
      <c r="H50">
        <f>MAX(E50,0.0001)</f>
        <v>0.54349999999999998</v>
      </c>
    </row>
    <row r="51" spans="1:8" x14ac:dyDescent="0.25">
      <c r="A51" t="s">
        <v>0</v>
      </c>
      <c r="B51">
        <v>17</v>
      </c>
      <c r="C51">
        <v>3.035E-4</v>
      </c>
      <c r="D51" s="2">
        <v>3.5839999999999997E-2</v>
      </c>
      <c r="E51" s="4">
        <v>5.2599999999999999E-3</v>
      </c>
      <c r="F51">
        <f>MAX(C51,0.0001)</f>
        <v>3.035E-4</v>
      </c>
      <c r="G51">
        <f>MAX(D51,0.0001)</f>
        <v>3.5839999999999997E-2</v>
      </c>
      <c r="H51">
        <f>MAX(E51,0.0001)</f>
        <v>5.2599999999999999E-3</v>
      </c>
    </row>
    <row r="52" spans="1:8" x14ac:dyDescent="0.25">
      <c r="A52" t="s">
        <v>2</v>
      </c>
      <c r="B52">
        <v>15</v>
      </c>
      <c r="C52" s="2">
        <v>1.157E-3</v>
      </c>
      <c r="D52" s="2">
        <v>3.2460000000000003E-2</v>
      </c>
      <c r="E52" s="4">
        <v>0.52600000000000002</v>
      </c>
      <c r="F52">
        <f>MAX(C52,0.0001)</f>
        <v>1.157E-3</v>
      </c>
      <c r="G52">
        <f>MAX(D52,0.0001)</f>
        <v>3.2460000000000003E-2</v>
      </c>
      <c r="H52">
        <f>MAX(E52,0.0001)</f>
        <v>0.52600000000000002</v>
      </c>
    </row>
    <row r="53" spans="1:8" x14ac:dyDescent="0.25">
      <c r="B53">
        <v>13</v>
      </c>
      <c r="C53">
        <v>5.4310000000000001E-3</v>
      </c>
      <c r="D53" s="2">
        <v>3.5069999999999997E-2</v>
      </c>
      <c r="E53" s="4">
        <v>5.6220000000000003E-3</v>
      </c>
      <c r="F53">
        <f>MAX(C53,0.0001)</f>
        <v>5.4310000000000001E-3</v>
      </c>
      <c r="G53">
        <f>MAX(D53,0.0001)</f>
        <v>3.5069999999999997E-2</v>
      </c>
      <c r="H53">
        <f>MAX(E53,0.0001)</f>
        <v>5.6220000000000003E-3</v>
      </c>
    </row>
    <row r="55" spans="1:8" x14ac:dyDescent="0.25">
      <c r="A55" t="s">
        <v>44</v>
      </c>
      <c r="B55">
        <f>PERCENTILE(B6:B45,0.25)</f>
        <v>1.4</v>
      </c>
      <c r="C55">
        <f>PERCENTILE(C6:C45,0.25)</f>
        <v>2.5864999999999998E-3</v>
      </c>
      <c r="D55">
        <f t="shared" ref="D55:E55" si="0">PERCENTILE(D6:D45,0.25)</f>
        <v>1.5832500000000001E-4</v>
      </c>
      <c r="E55">
        <f t="shared" si="0"/>
        <v>1.1800000000000001E-3</v>
      </c>
    </row>
    <row r="56" spans="1:8" x14ac:dyDescent="0.25">
      <c r="A56" t="s">
        <v>37</v>
      </c>
      <c r="B56">
        <f>PERCENTILE(B6:B45,0.5)</f>
        <v>3.3</v>
      </c>
      <c r="C56">
        <f>PERCENTILE(C6:C45,0.5)</f>
        <v>0.68629999999999991</v>
      </c>
      <c r="D56">
        <f t="shared" ref="D56:E56" si="1">PERCENTILE(D6:D45,0.5)</f>
        <v>2.9909999999999999E-2</v>
      </c>
      <c r="E56">
        <f t="shared" si="1"/>
        <v>2.1164999999999999E-3</v>
      </c>
    </row>
    <row r="57" spans="1:8" x14ac:dyDescent="0.25">
      <c r="A57" t="s">
        <v>45</v>
      </c>
      <c r="B57">
        <f>PERCENTILE(B6:B45,0.75)</f>
        <v>14.762500000000001</v>
      </c>
      <c r="C57">
        <f>PERCENTILE(C6:C45,0.75)</f>
        <v>64.63</v>
      </c>
      <c r="D57">
        <f t="shared" ref="D57:E57" si="2">PERCENTILE(D6:D45,0.75)</f>
        <v>1.1227500000000001</v>
      </c>
      <c r="E57">
        <f t="shared" si="2"/>
        <v>4.5504999999999999E-3</v>
      </c>
    </row>
    <row r="58" spans="1:8" x14ac:dyDescent="0.25">
      <c r="A58" t="s">
        <v>47</v>
      </c>
      <c r="B58" s="7">
        <f>AVERAGE(B6:B45)</f>
        <v>16.904406804733735</v>
      </c>
      <c r="C58" s="7">
        <f>AVERAGE(C6:C45)</f>
        <v>187.26411165466544</v>
      </c>
      <c r="D58" s="7">
        <f t="shared" ref="D58:E58" si="3">AVERAGE(D6:D45)</f>
        <v>64.028584949351256</v>
      </c>
      <c r="E58" s="7">
        <f t="shared" si="3"/>
        <v>0.14507819799050797</v>
      </c>
      <c r="F58" s="7"/>
      <c r="G58" s="7"/>
      <c r="H58" s="7"/>
    </row>
    <row r="59" spans="1:8" x14ac:dyDescent="0.25">
      <c r="A59" t="s">
        <v>46</v>
      </c>
      <c r="C59">
        <f>RSQ(C11:C53,$B11:$B53)</f>
        <v>4.4831468189246979E-5</v>
      </c>
      <c r="D59">
        <f>RSQ(D11:D53,$B11:$B53)</f>
        <v>5.4015869532187834E-5</v>
      </c>
      <c r="E59">
        <f t="shared" ref="E59" si="4">RSQ(E11:E53,$B11:$B53)</f>
        <v>6.9601288079868774E-3</v>
      </c>
    </row>
    <row r="60" spans="1:8" x14ac:dyDescent="0.25">
      <c r="A60" t="s">
        <v>47</v>
      </c>
    </row>
    <row r="61" spans="1:8" x14ac:dyDescent="0.25">
      <c r="A61" t="s">
        <v>17</v>
      </c>
      <c r="B61" s="7">
        <f>AVERAGE(B11:B15)</f>
        <v>3.8719999999999999</v>
      </c>
      <c r="C61" s="7">
        <f>AVERAGE(C11:C15)</f>
        <v>192.14065513400001</v>
      </c>
      <c r="D61" s="7">
        <f t="shared" ref="D61:E61" si="5">AVERAGE(D11:D15)</f>
        <v>47.980761459999989</v>
      </c>
      <c r="E61" s="7">
        <f t="shared" si="5"/>
        <v>2.8385200000000002E-3</v>
      </c>
      <c r="F61" s="7">
        <f>AVERAGE(C11:C15)/AVERAGE($B11:$B15)</f>
        <v>49.623103082128104</v>
      </c>
      <c r="G61" s="7">
        <f>AVERAGE(D11:D15)/AVERAGE($B11:$B15)</f>
        <v>12.391725583677683</v>
      </c>
      <c r="H61" s="7">
        <f>AVERAGE(E11:E15)/AVERAGE($B11:$B15)</f>
        <v>7.3308884297520669E-4</v>
      </c>
    </row>
    <row r="62" spans="1:8" x14ac:dyDescent="0.25">
      <c r="A62" t="s">
        <v>7</v>
      </c>
      <c r="B62" s="4">
        <f>AVERAGE(B16:B45)</f>
        <v>8.8849999999999962</v>
      </c>
      <c r="C62" s="4">
        <f>AVERAGE(C16:C45)</f>
        <v>16.155089683887333</v>
      </c>
      <c r="D62" s="4">
        <f t="shared" ref="D62:E62" si="6">AVERAGE(D16:D45)</f>
        <v>0.43729968913499995</v>
      </c>
      <c r="E62" s="4">
        <f t="shared" si="6"/>
        <v>5.6245106540106669E-3</v>
      </c>
      <c r="F62" s="7">
        <f>AVERAGE(C16:C45)/AVERAGE($B16:$B45)</f>
        <v>1.8182430707807924</v>
      </c>
      <c r="G62" s="4">
        <f>AVERAGE(D16:D45)/AVERAGE($B16:$B45)</f>
        <v>4.9217747792346667E-2</v>
      </c>
      <c r="H62" s="1">
        <f>AVERAGE(E16:E45)/AVERAGE($B16:$B45)</f>
        <v>6.3303440112669326E-4</v>
      </c>
    </row>
    <row r="63" spans="1:8" x14ac:dyDescent="0.25">
      <c r="A63" t="s">
        <v>2</v>
      </c>
      <c r="B63" s="7">
        <f>AVERAGE(B46:B53)</f>
        <v>11.35</v>
      </c>
      <c r="C63" s="7">
        <f>AVERAGE(C46:C53)</f>
        <v>16.620061437499999</v>
      </c>
      <c r="D63" s="7">
        <f t="shared" ref="D63:E63" si="7">AVERAGE(D46:D53)</f>
        <v>26.076171249999998</v>
      </c>
      <c r="E63" s="7">
        <f t="shared" si="7"/>
        <v>0.38583236249999997</v>
      </c>
      <c r="F63" s="7">
        <f>AVERAGE(C46:C53)/AVERAGE($B46:$B53)</f>
        <v>1.4643225936123347</v>
      </c>
      <c r="G63" s="7">
        <f>AVERAGE(D46:D53)/AVERAGE($B46:$B53)</f>
        <v>2.2974600220264314</v>
      </c>
      <c r="H63" s="1">
        <f>AVERAGE(E46:E53)/AVERAGE($B46:$B53)</f>
        <v>3.3994040748898675E-2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Observations</vt:lpstr>
      <vt:lpstr>model vs Observation</vt:lpstr>
    </vt:vector>
  </TitlesOfParts>
  <Company>UEA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</dc:creator>
  <cp:lastModifiedBy>Erik Buitenhuis (TYN - Staff)</cp:lastModifiedBy>
  <dcterms:created xsi:type="dcterms:W3CDTF">2015-10-12T16:37:38Z</dcterms:created>
  <dcterms:modified xsi:type="dcterms:W3CDTF">2018-12-20T14:27:13Z</dcterms:modified>
</cp:coreProperties>
</file>